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gr6G0UMljvlbJu6N7T/3gYqL8oJtIi6X0mSMK69Phzbu5atGsHXeMLyvpOpTGOqaIjUekK+JY+qfpGJ2PYZ+og==" workbookSaltValue="DD/5LF53v7M+V67qtmx6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BG10" i="8"/>
  <c r="C13" i="7"/>
  <c r="F13" i="7"/>
  <c r="B9" i="6"/>
  <c r="X12" i="21"/>
  <c r="BM16" i="11"/>
  <c r="BF10" i="11"/>
  <c r="BU11" i="17"/>
  <c r="AQ10" i="21"/>
  <c r="L10" i="2"/>
  <c r="L9" i="2"/>
  <c r="T9" i="11"/>
  <c r="BH17" i="16"/>
  <c r="BL17" i="11"/>
  <c r="V11" i="11"/>
  <c r="BI15" i="11"/>
  <c r="BG15" i="11"/>
  <c r="AP17" i="20"/>
  <c r="BU10" i="17"/>
  <c r="BW11" i="20"/>
  <c r="BU16" i="17"/>
  <c r="AZ12" i="11"/>
  <c r="BH10" i="11"/>
  <c r="BH10" i="16"/>
  <c r="BH16" i="11"/>
  <c r="BJ16" i="11"/>
  <c r="L12" i="2"/>
  <c r="L17" i="2"/>
  <c r="X15" i="16"/>
  <c r="X18" i="16" s="1"/>
  <c r="V10" i="16"/>
  <c r="BH11" i="16"/>
  <c r="BM12" i="11"/>
  <c r="BJ12" i="11"/>
  <c r="BK17" i="11"/>
  <c r="BW12" i="20"/>
  <c r="BW10" i="20"/>
  <c r="BG12" i="11"/>
  <c r="BM17" i="11"/>
  <c r="AQ12" i="21"/>
  <c r="BL16" i="11"/>
  <c r="L15" i="2"/>
  <c r="L16" i="2"/>
  <c r="X10" i="21"/>
  <c r="U9" i="17"/>
  <c r="U19" i="17" s="1"/>
  <c r="V9" i="16"/>
  <c r="BD11" i="13"/>
  <c r="AL16" i="11"/>
  <c r="C16" i="6"/>
  <c r="BE9" i="13"/>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E20" i="20"/>
  <c r="O20" i="20"/>
  <c r="AG20" i="20"/>
  <c r="A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D20" i="20"/>
  <c r="AK20" i="20"/>
  <c r="U12" i="11"/>
  <c r="AI20" i="20"/>
  <c r="S20" i="20"/>
  <c r="AL20" i="20"/>
  <c r="F20" i="20"/>
  <c r="AQ20" i="20"/>
  <c r="AF20" i="20"/>
  <c r="W20" i="20"/>
  <c r="AC20" i="20"/>
  <c r="O10" i="11"/>
  <c r="K20" i="20"/>
  <c r="AP20" i="20"/>
  <c r="O16" i="11"/>
  <c r="Q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6"/>
  <c r="X20" i="11"/>
  <c r="AE20" i="11"/>
  <c r="AH20" i="21"/>
  <c r="Z20" i="16"/>
  <c r="AI20" i="21"/>
  <c r="AM20" i="17"/>
  <c r="H20" i="12"/>
  <c r="AM20" i="11"/>
  <c r="K20" i="12"/>
  <c r="BQ20" i="16"/>
  <c r="N20" i="16"/>
  <c r="AW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Y20" i="11"/>
  <c r="AH20" i="17"/>
  <c r="AO20" i="21"/>
  <c r="N20" i="21"/>
  <c r="F20" i="11"/>
  <c r="R20" i="11"/>
  <c r="AM20" i="16"/>
  <c r="AP20" i="16"/>
  <c r="AE20" i="16"/>
  <c r="Q20" i="11"/>
  <c r="AG20" i="17"/>
  <c r="P20" i="16"/>
  <c r="BB20" i="16"/>
  <c r="AS20" i="16"/>
  <c r="BS20" i="16"/>
  <c r="U20" i="20"/>
  <c r="Y20" i="17"/>
  <c r="AL20" i="21"/>
  <c r="AA20" i="11"/>
  <c r="I20" i="17"/>
  <c r="N20" i="17"/>
  <c r="AR20" i="17"/>
  <c r="AR20" i="16"/>
  <c r="E20" i="12"/>
  <c r="AA20" i="16"/>
  <c r="T20" i="17"/>
  <c r="AB20" i="17"/>
  <c r="BO20" i="16"/>
  <c r="AN20" i="17"/>
  <c r="K20" i="21"/>
  <c r="AU20" i="11"/>
  <c r="L20" i="21"/>
  <c r="F20" i="17"/>
  <c r="AI20" i="16"/>
  <c r="M20" i="16"/>
  <c r="AF20" i="16"/>
  <c r="O20" i="16"/>
  <c r="AH20" i="11"/>
  <c r="BH20" i="16"/>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<sst xmlns="http://schemas.openxmlformats.org/spreadsheetml/2006/main" count="2074" uniqueCount="910">
  <si>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</si>
  <si>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</si>
  <si>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</si>
  <si>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</si>
  <si>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</si>
  <si>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</si>
  <si>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</si>
  <si>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</si>
  <si>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</si>
  <si>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</si>
  <si>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</si>
  <si>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</si>
  <si>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</si>
  <si>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</si>
  <si>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</si>
  <si>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</si>
  <si>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</si>
  <si>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</si>
  <si>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</si>
  <si>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</si>
  <si>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</si>
  <si>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</si>
  <si>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</si>
  <si>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</si>
  <si>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</si>
  <si>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</si>
  <si>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</si>
  <si>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</si>
  <si>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</si>
  <si>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</si>
  <si>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</si>
  <si>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</si>
  <si>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</si>
  <si>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</si>
  <si>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</si>
  <si>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</si>
  <si>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</si>
  <si>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</si>
  <si>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</si>
  <si>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</si>
  <si>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</si>
  <si>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</si>
  <si>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</si>
  <si>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</si>
  <si>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</si>
  <si>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</si>
  <si>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</si>
  <si>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</si>
  <si>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</si>
  <si>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</si>
  <si>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</si>
  <si>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</si>
  <si>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</si>
  <si>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</si>
  <si>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</si>
  <si>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</si>
  <si>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</si>
  <si>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</si>
  <si>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</si>
  <si>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</si>
  <si>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</si>
  <si>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</si>
  <si>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</si>
  <si>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</si>
  <si>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</si>
  <si>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</si>
  <si>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</si>
  <si>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</si>
  <si>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</si>
  <si>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</si>
  <si>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</si>
  <si>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</si>
  <si>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</si>
  <si>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</si>
  <si>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</si>
  <si>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</si>
  <si>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</si>
  <si>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</si>
  <si>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</si>
  <si>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</si>
  <si>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</si>
  <si>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</si>
  <si>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</si>
  <si>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</si>
  <si>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</si>
  <si>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</si>
  <si>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</si>
  <si>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</si>
  <si>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</si>
  <si>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</si>
  <si>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</si>
  <si>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</si>
  <si>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</si>
  <si>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</si>
  <si>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</si>
  <si>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</si>
  <si>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</si>
  <si>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</si>
  <si>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</si>
  <si>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</si>
  <si>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</si>
  <si>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</si>
  <si>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</si>
  <si>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</si>
  <si>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</si>
  <si>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</si>
  <si>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</si>
  <si>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</si>
  <si>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</si>
  <si>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</si>
  <si>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</si>
  <si>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</si>
  <si>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</si>
  <si>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</si>
  <si>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</si>
  <si>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</si>
  <si>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</si>
  <si>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</si>
  <si>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</si>
  <si>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</si>
  <si>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</si>
  <si>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</si>
  <si>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</si>
  <si>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</si>
  <si>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</si>
  <si>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</si>
  <si>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</si>
  <si>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</si>
  <si>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</si>
  <si>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</si>
  <si>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</si>
  <si>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</si>
  <si>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</si>
  <si>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</si>
  <si>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</si>
  <si>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</si>
  <si>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</si>
  <si>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</si>
  <si>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</si>
  <si>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</si>
  <si>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</si>
  <si>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</si>
  <si>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</si>
  <si>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</si>
  <si>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</si>
  <si>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</si>
  <si>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</si>
  <si>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</si>
  <si>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</si>
  <si>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</si>
  <si>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</si>
  <si>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</si>
  <si>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</si>
  <si>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</si>
  <si>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</si>
  <si>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</si>
  <si>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</si>
  <si>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</si>
  <si>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</si>
  <si>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</si>
  <si>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</si>
  <si>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</si>
  <si>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</si>
  <si>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</si>
  <si>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</si>
  <si>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</si>
  <si>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</si>
  <si>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</si>
  <si>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</si>
  <si>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</si>
  <si>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</si>
  <si>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</si>
  <si>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</si>
  <si>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</si>
  <si>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</si>
  <si>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</si>
  <si>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</si>
  <si>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</si>
  <si>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</si>
  <si>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</si>
  <si>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</si>
  <si>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</si>
  <si>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</si>
  <si>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</si>
  <si>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</si>
  <si>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</si>
  <si>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</si>
  <si>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</si>
  <si>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</si>
  <si>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</si>
  <si>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</si>
  <si>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</si>
  <si>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</si>
  <si>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</si>
  <si>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</si>
  <si>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</si>
  <si>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</si>
  <si>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</si>
  <si>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</si>
  <si>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</si>
  <si>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</si>
  <si>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</si>
  <si>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</si>
  <si>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</si>
  <si>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</si>
  <si>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</si>
  <si>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</si>
  <si>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</si>
  <si>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</si>
  <si>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</si>
  <si>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</si>
  <si>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</si>
  <si>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</si>
  <si>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</si>
  <si>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</si>
  <si>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</si>
  <si>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</si>
  <si>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</si>
  <si>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</si>
  <si>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</si>
  <si>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</si>
  <si>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</si>
  <si>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</si>
  <si>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</si>
  <si>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</si>
  <si>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</si>
  <si>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</si>
  <si>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</si>
  <si>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</si>
  <si>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</si>
  <si>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</si>
  <si>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</si>
  <si>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</si>
  <si>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</si>
  <si>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</si>
  <si>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</si>
  <si>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</si>
  <si>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</si>
  <si>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</si>
  <si>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</si>
  <si>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</si>
  <si>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</si>
  <si>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</si>
  <si>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</si>
  <si>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</si>
  <si>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</si>
  <si>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</si>
  <si>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</si>
  <si>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</si>
  <si>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</si>
  <si>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</si>
  <si>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</si>
  <si>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</si>
  <si>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</si>
  <si>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</si>
  <si>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</si>
  <si>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</si>
  <si>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</si>
  <si>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</si>
  <si>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</si>
  <si>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</si>
  <si>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</si>
  <si>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</si>
  <si>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</si>
  <si>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</si>
  <si>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</si>
  <si>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</si>
  <si>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</si>
  <si>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</si>
  <si>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</si>
  <si>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</si>
  <si>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</si>
  <si>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</si>
  <si>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</si>
  <si>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</si>
  <si>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</si>
  <si>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</si>
  <si>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</si>
  <si>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</si>
  <si>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</si>
  <si>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</si>
  <si>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</si>
  <si>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</si>
  <si>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</si>
  <si>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</si>
  <si>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</si>
  <si>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</si>
  <si>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</si>
  <si>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</si>
  <si>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</si>
  <si>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</si>
  <si>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</si>
  <si>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</si>
  <si>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</si>
  <si>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</si>
  <si>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</si>
  <si>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</si>
  <si>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</si>
  <si>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</si>
  <si>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</si>
  <si>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</si>
  <si>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</si>
  <si>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</si>
  <si>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</si>
  <si>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</si>
  <si>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</si>
  <si>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</si>
  <si>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</si>
  <si>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</si>
  <si>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</si>
  <si>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</si>
  <si>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</si>
  <si>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</si>
  <si>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</si>
  <si>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</si>
  <si>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</si>
  <si>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</si>
  <si>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</si>
  <si>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</si>
  <si>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</si>
  <si>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</si>
  <si>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</si>
  <si>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</si>
  <si>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</si>
  <si>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</si>
  <si>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</si>
  <si>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</si>
  <si>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</si>
  <si>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</si>
  <si>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</si>
  <si>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</si>
  <si>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</si>
  <si>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</si>
  <si>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</si>
  <si>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</si>
  <si>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</si>
  <si>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</si>
  <si>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</si>
  <si>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</si>
  <si>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</si>
  <si>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</si>
  <si>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</si>
  <si>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</si>
  <si>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</si>
  <si>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</si>
  <si>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</si>
  <si>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</si>
  <si>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</si>
  <si>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</si>
  <si>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</si>
  <si>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</si>
  <si>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</si>
  <si>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</si>
  <si>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</si>
  <si>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</si>
  <si>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</si>
  <si>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</si>
  <si>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</si>
  <si>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</si>
  <si>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</si>
  <si>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</si>
  <si>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</si>
  <si>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</si>
  <si>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</si>
  <si>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</si>
  <si>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</si>
  <si>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</si>
  <si>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</si>
  <si>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</si>
  <si>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</si>
  <si>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</si>
  <si>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</si>
  <si>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</si>
  <si>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</si>
  <si>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</si>
  <si>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</si>
  <si>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</si>
  <si>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</si>
  <si>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</si>
  <si>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</si>
  <si>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</si>
  <si>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</si>
  <si>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</si>
  <si>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</si>
  <si>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</si>
  <si>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</si>
  <si>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</si>
  <si>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</si>
  <si>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</si>
  <si>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</si>
  <si>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</si>
  <si>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</si>
  <si>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</si>
  <si>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</si>
  <si>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</si>
  <si>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</si>
  <si>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</si>
  <si>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</si>
  <si>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</si>
  <si>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</si>
  <si>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</si>
  <si>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</si>
  <si>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</si>
  <si>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</si>
  <si>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</si>
  <si>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</si>
  <si>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</si>
  <si>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</si>
  <si>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</si>
  <si>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</si>
  <si>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</si>
  <si>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</si>
  <si>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</si>
  <si>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</si>
  <si>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</si>
  <si>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</si>
  <si>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</si>
  <si>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</si>
  <si>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</si>
  <si>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</si>
  <si>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</si>
  <si>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</si>
  <si>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</si>
  <si>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</si>
  <si>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</si>
  <si>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</si>
  <si>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</si>
  <si>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</si>
  <si>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</si>
  <si>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</si>
  <si>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</si>
  <si>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</si>
  <si>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</si>
  <si>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</si>
  <si>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</si>
  <si>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</si>
  <si>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</si>
  <si>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</si>
  <si>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</si>
  <si>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</si>
  <si>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</si>
  <si>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</si>
  <si>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</si>
  <si>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</si>
  <si>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</si>
  <si>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</si>
  <si>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</si>
  <si>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</si>
  <si>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</si>
  <si>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</si>
  <si>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</si>
  <si>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</si>
  <si>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</si>
  <si>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</si>
  <si>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</si>
  <si>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</si>
  <si>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</si>
  <si>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</si>
  <si>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</si>
  <si>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</si>
  <si>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</si>
  <si>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</si>
  <si>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</si>
  <si>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</si>
  <si>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</si>
  <si>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</si>
  <si>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</si>
  <si>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</si>
  <si>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</si>
  <si>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</si>
  <si>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</si>
  <si>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</si>
  <si>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</si>
  <si>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</si>
  <si>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</si>
  <si>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</si>
  <si>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</si>
  <si>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</si>
  <si>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</si>
  <si>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</si>
  <si>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</si>
  <si>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</si>
  <si>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</si>
  <si>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</si>
  <si>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</si>
  <si>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</si>
  <si>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</si>
  <si>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</si>
  <si>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</si>
  <si>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</si>
  <si>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</si>
  <si>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</si>
  <si>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</si>
  <si>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</si>
  <si>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</si>
  <si>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</si>
  <si>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</si>
  <si>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</si>
  <si>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</si>
  <si>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</si>
  <si>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</si>
  <si>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</si>
  <si>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</si>
  <si>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</si>
  <si>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</si>
  <si>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</si>
  <si>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</si>
  <si>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</si>
  <si>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</si>
  <si>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</si>
  <si>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</si>
  <si>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</si>
  <si>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</si>
  <si>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</si>
  <si>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</si>
  <si>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</si>
  <si>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</si>
  <si>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</si>
  <si>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</si>
  <si>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</si>
  <si>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</si>
  <si>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</si>
  <si>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</si>
  <si>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</si>
  <si>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</si>
  <si>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</si>
  <si>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</si>
  <si>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</si>
  <si>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</si>
  <si>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</si>
  <si>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</si>
  <si>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</si>
  <si>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</si>
  <si>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</si>
  <si>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</si>
  <si>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</si>
  <si>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</si>
  <si>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</si>
  <si>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</si>
  <si>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</si>
  <si>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</si>
  <si>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</si>
  <si>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</si>
  <si>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</si>
  <si>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</si>
  <si>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</si>
  <si>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</si>
  <si>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</si>
  <si>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</si>
  <si>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</si>
  <si>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</si>
  <si>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</si>
  <si>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</si>
  <si>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</si>
  <si>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</si>
  <si>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</si>
  <si>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</si>
  <si>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</si>
  <si>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</si>
  <si>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</si>
  <si>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</si>
  <si>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</si>
  <si>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</si>
  <si>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</si>
  <si>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</si>
  <si>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</si>
  <si>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</si>
  <si>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</si>
  <si>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</si>
  <si>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</si>
  <si>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</si>
  <si>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</si>
  <si>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</si>
  <si>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</si>
  <si>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</si>
  <si>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</si>
  <si>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</si>
  <si>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</si>
  <si>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</si>
  <si>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</si>
  <si>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</si>
  <si>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</si>
  <si>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</si>
  <si>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</si>
  <si>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</si>
  <si>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</si>
  <si>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</si>
  <si>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</si>
  <si>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</si>
  <si>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</si>
  <si>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</si>
  <si>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</si>
  <si>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</si>
  <si>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</si>
  <si>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</si>
  <si>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</si>
  <si>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</si>
  <si>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</si>
  <si>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</si>
  <si>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</si>
  <si>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</si>
  <si>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</si>
  <si>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</si>
  <si>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</si>
  <si>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</si>
  <si>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</si>
  <si>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</si>
  <si>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</si>
  <si>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</si>
  <si>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</si>
  <si>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</si>
  <si>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</si>
  <si>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</si>
  <si>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</si>
  <si>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</si>
  <si>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</si>
  <si>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</si>
  <si>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</si>
  <si>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</si>
  <si>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</si>
  <si>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</si>
  <si>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</si>
  <si>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</si>
  <si>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</si>
  <si>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</si>
  <si>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</si>
  <si>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</si>
  <si>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</si>
  <si>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</si>
  <si>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</si>
  <si>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</si>
  <si>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</si>
  <si>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</si>
  <si>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</si>
  <si>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</si>
  <si>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</si>
  <si>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</si>
  <si>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</si>
  <si>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</si>
  <si>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</si>
  <si>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</si>
  <si>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</si>
  <si>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</si>
  <si>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</si>
  <si>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</si>
  <si>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</si>
  <si>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</si>
  <si>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</si>
  <si>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</si>
  <si>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</si>
  <si>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</si>
  <si>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</si>
  <si>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</si>
  <si>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</si>
  <si>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</si>
  <si>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</si>
  <si>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</si>
  <si>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</si>
  <si>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</si>
  <si>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</si>
  <si>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</si>
  <si>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</si>
  <si>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</si>
  <si>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</si>
  <si>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</si>
  <si>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</si>
  <si>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</si>
  <si>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</si>
  <si>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</si>
  <si>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</si>
  <si>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</si>
  <si>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</si>
  <si>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</si>
  <si>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</si>
  <si>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</si>
  <si>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</si>
  <si>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</si>
  <si>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</si>
  <si>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</si>
  <si>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</si>
  <si>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</si>
  <si>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</si>
  <si>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</si>
  <si>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</si>
  <si>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</si>
  <si>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</si>
  <si>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</si>
  <si>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</si>
  <si>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</si>
  <si>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</si>
  <si>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</si>
  <si>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</si>
  <si>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</si>
  <si>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</si>
  <si>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</si>
  <si>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</si>
  <si>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</si>
  <si>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</si>
  <si>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</si>
  <si>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</si>
  <si>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</si>
  <si>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</si>
  <si>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</si>
  <si>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</si>
  <si>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</si>
  <si>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</si>
  <si>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</si>
  <si>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</si>
  <si>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</si>
  <si>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</si>
  <si>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</si>
  <si>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</si>
  <si>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</si>
  <si>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</si>
  <si>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</si>
  <si>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</si>
  <si>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</si>
  <si>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</si>
  <si>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</si>
  <si>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</si>
  <si>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</si>
  <si>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</si>
  <si>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</si>
  <si>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</si>
  <si>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</si>
  <si>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</si>
  <si>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</si>
  <si>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</si>
  <si>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</si>
  <si>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</si>
  <si>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</si>
  <si>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</si>
  <si>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</si>
  <si>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</si>
  <si>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</si>
  <si>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</si>
  <si>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</si>
  <si>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</si>
  <si>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</si>
  <si>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</si>
  <si>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</si>
  <si>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</si>
  <si>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</si>
  <si>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</si>
  <si>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</si>
  <si>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</si>
  <si>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</si>
  <si>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</si>
  <si>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</si>
  <si>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</si>
  <si>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</si>
  <si>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</si>
  <si>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</si>
  <si>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</si>
  <si>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</si>
  <si>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</si>
  <si>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</si>
  <si>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</si>
  <si>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</si>
  <si>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</si>
  <si>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</si>
  <si>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</si>
  <si>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</si>
  <si>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</si>
  <si>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</si>
  <si>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</si>
  <si>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</si>
  <si>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</si>
  <si>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</si>
  <si>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</si>
  <si>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</si>
  <si>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</si>
  <si>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</si>
  <si>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</si>
  <si>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</si>
  <si>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</si>
  <si>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</si>
  <si>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</si>
  <si>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</si>
  <si>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</si>
  <si>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</si>
  <si>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</si>
  <si>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</si>
  <si>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</si>
  <si>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</si>
  <si>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</si>
  <si>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</si>
  <si>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</si>
  <si>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</si>
  <si>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</si>
  <si>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</si>
  <si>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</si>
  <si>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</si>
  <si>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</si>
  <si>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</si>
  <si>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</si>
  <si>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</si>
  <si>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</si>
  <si>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</si>
  <si>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</si>
  <si>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</si>
  <si>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</si>
  <si>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</si>
  <si>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</si>
  <si>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</si>
  <si>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</si>
  <si>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</si>
  <si>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</si>
  <si>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</si>
  <si>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</si>
  <si>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</si>
  <si>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</si>
  <si>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</si>
  <si>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</si>
  <si>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</si>
  <si>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</si>
  <si>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</si>
  <si>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</si>
  <si>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</si>
  <si>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</si>
  <si>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</si>
  <si>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</si>
  <si>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</si>
  <si>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</si>
  <si>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</si>
  <si>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</si>
  <si>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</si>
  <si>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</si>
  <si>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</si>
  <si>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</si>
  <si>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</si>
  <si>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</si>
  <si>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</si>
  <si>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</si>
  <si>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</si>
  <si>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</si>
  <si>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</si>
  <si>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</si>
  <si>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</si>
  <si>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</si>
  <si>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</si>
  <si>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</si>
  <si>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</si>
  <si>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</si>
  <si>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</si>
  <si>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</si>
  <si>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</si>
  <si>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</si>
  <si>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</si>
  <si>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</si>
  <si>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</si>
  <si>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</si>
  <si>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</si>
  <si>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</si>
  <si>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</si>
  <si>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</si>
  <si>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</si>
  <si>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</si>
  <si>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</si>
  <si>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</si>
  <si>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</si>
  <si>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</si>
  <si>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</si>
  <si>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</si>
  <si>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</si>
  <si>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</si>
  <si>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</si>
  <si>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</si>
  <si>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</si>
  <si>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</si>
  <si>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</si>
  <si>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</si>
  <si>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</si>
  <si>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</si>
  <si>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</si>
  <si>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</si>
  <si>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</si>
  <si>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</si>
  <si>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</si>
  <si>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</si>
  <si>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</si>
  <si>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</si>
  <si>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</si>
  <si>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</si>
  <si>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</si>
  <si>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</si>
  <si>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</si>
  <si>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</si>
  <si>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</si>
  <si>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</si>
  <si>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</si>
  <si>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</si>
  <si>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</si>
  <si>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</si>
  <si>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</si>
  <si>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</si>
  <si>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</si>
  <si>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</si>
  <si>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</si>
  <si>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</si>
  <si>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</si>
  <si>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</si>
  <si>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</si>
  <si>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</si>
  <si>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</si>
  <si>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</si>
  <si>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</si>
  <si>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SANTA CRUZ DE TENERIFE</t>
  </si>
  <si>
    <t>Resumenes por Partidos Judiciales</t>
  </si>
  <si>
    <t>SAN CRISTOBAL DE LA LAGUNA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</si>
</sst>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sEyZhJVwO7HGGTdvyONBXjPlxb0Si3asCkLBgekv6YlpX7MlZBYCkPLck9daXhplIdMC3zPjYzPeSkNYVyydQ==" saltValue="nMurZMpJgvJ0NrapZxT2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19.970919125451072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1</v>
      </c>
      <c r="F10" s="226">
        <f>IF(ISNUMBER(Datos!K10),Datos!K10," - ")</f>
        <v>3</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-0.15384615384615385</v>
      </c>
      <c r="L10" s="1025">
        <f>IF(ISNUMBER(NºAsuntos!I10/NºAsuntos!G10),(NºAsuntos!I10/NºAsuntos!G10)*11," - ")</f>
        <v>40.333333333333329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17.217391304347828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2053</v>
      </c>
      <c r="D15" s="225">
        <f>IF(ISNUMBER(IF(D_I="SI",Datos!I15,Datos!I15+Datos!AC15)),IF(D_I="SI",Datos!I15,Datos!I15+Datos!AC15)," - ")</f>
        <v>2003</v>
      </c>
      <c r="E15" s="226">
        <f>IF(ISNUMBER(IF(D_I="SI",Datos!J15,Datos!J15+Datos!AD15)),IF(D_I="SI",Datos!J15,Datos!J15+Datos!AD15)," - ")</f>
        <v>3140</v>
      </c>
      <c r="F15" s="226">
        <f>IF(ISNUMBER(IF(D_I="SI",Datos!K15,Datos!K15+Datos!AE15)),IF(D_I="SI",Datos!K15,Datos!K15+Datos!AE15)," - ")</f>
        <v>3282</v>
      </c>
      <c r="G15" s="1034" t="str">
        <f>IF(Datos!E15&lt;&gt;"",Datos!E15,Datos!D15)</f>
        <v>03</v>
      </c>
      <c r="H15" s="227">
        <f>IF(ISNUMBER(IF(D_I="SI",Datos!L15,Datos!L15+Datos!AF15)),IF(D_I="SI",Datos!L15,Datos!L15+Datos!AF15)," - ")</f>
        <v>1911</v>
      </c>
      <c r="I15" s="1044" t="str">
        <f>IF(ISNUMBER(Datos!AS15/Datos!BM15),Datos!AS15/Datos!BM15," - ")</f>
        <v xml:space="preserve"> - </v>
      </c>
      <c r="J15" s="1045">
        <f>IF(ISNUMBER(Datos!BY15/Datos!CN15),Datos!BY15/Datos!CN15," - ")</f>
        <v>0</v>
      </c>
      <c r="K15" s="230">
        <f t="shared" ref="K15:K17" si="3">IF(ISNUMBER((E15-F15)/C15),(E15-F15)/C15," - ")</f>
        <v>-6.9167072576717004E-2</v>
      </c>
      <c r="L15" s="1025">
        <f>IF(ISNUMBER(NºAsuntos!I15/NºAsuntos!G15),(NºAsuntos!I15/NºAsuntos!G15)*11," - ")</f>
        <v>6.4049360146252283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10</v>
      </c>
      <c r="D16" s="225">
        <f>IF(ISNUMBER(IF(D_I="SI",Datos!I16,Datos!I16+Datos!AC16)),IF(D_I="SI",Datos!I16,Datos!I16+Datos!AC16)," - ")</f>
        <v>10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10</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20</v>
      </c>
      <c r="E17" s="226">
        <f>IF(ISNUMBER(IF(D_I="SI",Datos!J17,Datos!J17+Datos!AD17)),IF(D_I="SI",Datos!J17,Datos!J17+Datos!AD17)," - ")</f>
        <v>0</v>
      </c>
      <c r="F17" s="226">
        <f>IF(ISNUMBER(IF(D_I="SI",Datos!K17,Datos!K17+Datos!AE17)),IF(D_I="SI",Datos!K17,Datos!K17+Datos!AE17)," - ")</f>
        <v>1</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-0.05</v>
      </c>
      <c r="L17" s="1025">
        <f>IF(ISNUMBER(NºAsuntos!I17/NºAsuntos!G17),(NºAsuntos!I17/NºAsuntos!G17)*11," - ")</f>
        <v>209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2083</v>
      </c>
      <c r="D18" s="1049">
        <f>SUBTOTAL(9,D15:D17)</f>
        <v>2033</v>
      </c>
      <c r="E18" s="1050">
        <f>SUBTOTAL(9,E15:E17)</f>
        <v>3140</v>
      </c>
      <c r="F18" s="1050">
        <f>SUBTOTAL(9,F15:F17)</f>
        <v>3283</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2096</v>
      </c>
      <c r="D19" s="1071">
        <f>SUBTOTAL(9,D9:D18)</f>
        <v>2046</v>
      </c>
      <c r="E19" s="1072">
        <f>SUBTOTAL(9,E9:E18)</f>
        <v>3141</v>
      </c>
      <c r="F19" s="1072">
        <f>SUBTOTAL(9,F9:F18)</f>
        <v>3286</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JqR9oBC+DWizQdYexg+z1ZWfrD9LN7Mrq+KQgkzVTqVzlbZ8seXgdXvWVqldcyHpFJ61cA53AOMXDD8OXoPu3w==" saltValue="dbumfAgnWsvNijIoXAMwI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UCCflHeMHCeYbEQ6wESdcCHZgvVXuNgfsn5OFx16jKn34VeN1E+FDwsFyOVi/oKiLo+yFqJ5lOREuvuFakzbA==" saltValue="IpRzot6F4znshelOr3ev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9719</v>
      </c>
      <c r="J9" s="181">
        <v>3242</v>
      </c>
      <c r="K9" s="181">
        <v>4597</v>
      </c>
      <c r="L9" s="181">
        <v>8440</v>
      </c>
      <c r="M9" s="181">
        <v>1838</v>
      </c>
      <c r="N9" s="181">
        <v>1463</v>
      </c>
      <c r="O9" s="181">
        <v>1493</v>
      </c>
      <c r="P9" s="181">
        <v>840</v>
      </c>
      <c r="Q9" s="181">
        <v>654</v>
      </c>
      <c r="R9" s="181">
        <v>11951</v>
      </c>
      <c r="S9" s="181">
        <v>10498</v>
      </c>
      <c r="T9" s="181">
        <v>4288</v>
      </c>
      <c r="U9" s="181">
        <v>3995</v>
      </c>
      <c r="V9" s="181">
        <v>10741</v>
      </c>
      <c r="W9" s="181">
        <v>1639</v>
      </c>
      <c r="X9" s="188">
        <v>1328</v>
      </c>
      <c r="Y9" s="191">
        <v>129</v>
      </c>
      <c r="Z9" s="181">
        <v>100</v>
      </c>
      <c r="AA9" s="181">
        <v>114</v>
      </c>
      <c r="AB9" s="181">
        <v>113</v>
      </c>
      <c r="AC9" s="181">
        <v>0</v>
      </c>
      <c r="AD9" s="181">
        <v>0</v>
      </c>
      <c r="AE9" s="181">
        <v>0</v>
      </c>
      <c r="AF9" s="188">
        <v>0</v>
      </c>
      <c r="AG9" s="191">
        <v>166</v>
      </c>
      <c r="AH9" s="181">
        <v>157</v>
      </c>
      <c r="AI9" s="181">
        <v>152</v>
      </c>
      <c r="AJ9" s="192">
        <v>171</v>
      </c>
      <c r="AK9" s="180">
        <v>0</v>
      </c>
      <c r="AL9" s="181">
        <v>0</v>
      </c>
      <c r="AM9" s="181">
        <v>0</v>
      </c>
      <c r="AN9" s="188">
        <v>0</v>
      </c>
      <c r="AO9" s="258">
        <v>7</v>
      </c>
      <c r="AP9" s="154">
        <v>7</v>
      </c>
      <c r="AQ9" s="154">
        <v>7</v>
      </c>
      <c r="AR9" s="193">
        <v>7</v>
      </c>
      <c r="AS9" s="338" t="s">
        <v>791</v>
      </c>
      <c r="AT9" s="195"/>
      <c r="AU9" s="194"/>
      <c r="AV9" s="195"/>
      <c r="AW9" s="194"/>
      <c r="AX9" s="195"/>
      <c r="AY9" s="123">
        <f>IF(ISNUMBER(IF(J_V="SI",S9,S9+AG9)),IF(J_V="SI",S9,S9+AG9)," - ")</f>
        <v>10664</v>
      </c>
      <c r="AZ9" s="123">
        <f>IF(ISNUMBER(IF(J_V="SI",T9,T9+AH9)),IF(J_V="SI",T9,T9+AH9)," - ")</f>
        <v>4445</v>
      </c>
      <c r="BA9" s="124">
        <f>IF(ISNUMBER(IF(J_V="SI",U9,U9+AI9)),IF(J_V="SI",U9,U9+AI9)," - ")</f>
        <v>4147</v>
      </c>
      <c r="BB9" s="124">
        <f>IF(ISNUMBER(IF(J_V="SI",V9,V9+AJ9)),IF(J_V="SI",V9,V9+AJ9)," - ")</f>
        <v>10912</v>
      </c>
      <c r="BC9" s="125">
        <f>IF(ISNUMBER(X9),X9," - ")</f>
        <v>1328</v>
      </c>
      <c r="BD9" s="126">
        <f>IF(ISNUMBER(BA9/AZ9),BA9/AZ9," - ")</f>
        <v>0.93295838020247468</v>
      </c>
      <c r="BE9" s="127">
        <f>IF(ISNUMBER(BB9/BA9),BB9/BA9, " - ")</f>
        <v>2.6312997347480107</v>
      </c>
      <c r="BF9" s="127">
        <f>IF(ISNUMBER(BC9/BA9),BC9/BA9, " - ")</f>
        <v>0.32023149264528578</v>
      </c>
      <c r="BG9" s="196">
        <f>IF(ISNUMBER((AY9+AZ9)/BA9),(AY9+AZ9)/BA9," - ")</f>
        <v>3.6433566433566433</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1</v>
      </c>
      <c r="K10" s="181">
        <v>3</v>
      </c>
      <c r="L10" s="181">
        <v>11</v>
      </c>
      <c r="M10" s="181">
        <v>1</v>
      </c>
      <c r="N10" s="181">
        <v>0</v>
      </c>
      <c r="O10" s="181">
        <v>1</v>
      </c>
      <c r="P10" s="181">
        <v>0</v>
      </c>
      <c r="Q10" s="181">
        <v>1</v>
      </c>
      <c r="R10" s="181">
        <v>65</v>
      </c>
      <c r="S10" s="181">
        <v>15</v>
      </c>
      <c r="T10" s="181">
        <v>9</v>
      </c>
      <c r="U10" s="181">
        <v>10</v>
      </c>
      <c r="V10" s="181">
        <v>14</v>
      </c>
      <c r="W10" s="181">
        <v>3</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15</v>
      </c>
      <c r="AZ10" s="129">
        <f t="shared" si="0"/>
        <v>9</v>
      </c>
      <c r="BA10" s="129">
        <f t="shared" si="0"/>
        <v>10</v>
      </c>
      <c r="BB10" s="129">
        <f t="shared" si="0"/>
        <v>14</v>
      </c>
      <c r="BC10" s="125">
        <f t="shared" si="0"/>
        <v>3</v>
      </c>
      <c r="BD10" s="126">
        <f>IF(ISNUMBER(BA10/AZ10),BA10/AZ10," - ")</f>
        <v>1.1111111111111112</v>
      </c>
      <c r="BE10" s="127">
        <f>IF(ISNUMBER(BB10/BA10),BB10/BA10, " - ")</f>
        <v>1.4</v>
      </c>
      <c r="BF10" s="127">
        <f>IF(ISNUMBER(BC10/BA10),BC10/BA10, " - ")</f>
        <v>0.3</v>
      </c>
      <c r="BG10" s="196">
        <f>IF(ISNUMBER((AY10+AZ10)/BA10),(AY10+AZ10)/BA10," - ")</f>
        <v>2.4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196</v>
      </c>
      <c r="J11" s="183">
        <v>289</v>
      </c>
      <c r="K11" s="183">
        <v>180</v>
      </c>
      <c r="L11" s="183">
        <v>305</v>
      </c>
      <c r="M11" s="183">
        <v>82</v>
      </c>
      <c r="N11" s="183">
        <v>64</v>
      </c>
      <c r="O11" s="181">
        <v>78</v>
      </c>
      <c r="P11" s="183">
        <v>0</v>
      </c>
      <c r="Q11" s="183">
        <v>0</v>
      </c>
      <c r="R11" s="183">
        <v>0</v>
      </c>
      <c r="S11" s="183">
        <v>0</v>
      </c>
      <c r="T11" s="183">
        <v>0</v>
      </c>
      <c r="U11" s="183">
        <v>0</v>
      </c>
      <c r="V11" s="183">
        <v>0</v>
      </c>
      <c r="W11" s="183">
        <v>0</v>
      </c>
      <c r="X11" s="189">
        <v>0</v>
      </c>
      <c r="Y11" s="191">
        <v>33</v>
      </c>
      <c r="Z11" s="181">
        <v>72</v>
      </c>
      <c r="AA11" s="181">
        <v>50</v>
      </c>
      <c r="AB11" s="181">
        <v>55</v>
      </c>
      <c r="AC11" s="183">
        <v>0</v>
      </c>
      <c r="AD11" s="183">
        <v>0</v>
      </c>
      <c r="AE11" s="183">
        <v>0</v>
      </c>
      <c r="AF11" s="189">
        <v>0</v>
      </c>
      <c r="AG11" s="202">
        <v>0</v>
      </c>
      <c r="AH11" s="183">
        <v>0</v>
      </c>
      <c r="AI11" s="183">
        <v>0</v>
      </c>
      <c r="AJ11" s="203">
        <v>0</v>
      </c>
      <c r="AK11" s="182">
        <v>0</v>
      </c>
      <c r="AL11" s="183">
        <v>0</v>
      </c>
      <c r="AM11" s="183">
        <v>0</v>
      </c>
      <c r="AN11" s="189">
        <v>0</v>
      </c>
      <c r="AO11" s="259">
        <v>1</v>
      </c>
      <c r="AP11" s="155">
        <v>1</v>
      </c>
      <c r="AQ11" s="155">
        <v>1</v>
      </c>
      <c r="AR11" s="154">
        <v>1</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f>IF(ISNUMBER(X11),X11," - ")</f>
        <v>0</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9928</v>
      </c>
      <c r="J13" s="184">
        <f t="shared" si="6"/>
        <v>3532</v>
      </c>
      <c r="K13" s="184">
        <f t="shared" si="6"/>
        <v>4780</v>
      </c>
      <c r="L13" s="184">
        <f t="shared" si="6"/>
        <v>8756</v>
      </c>
      <c r="M13" s="184">
        <f t="shared" si="6"/>
        <v>1921</v>
      </c>
      <c r="N13" s="184">
        <f t="shared" si="6"/>
        <v>1527</v>
      </c>
      <c r="O13" s="184">
        <f t="shared" si="6"/>
        <v>1572</v>
      </c>
      <c r="P13" s="184">
        <f t="shared" si="6"/>
        <v>840</v>
      </c>
      <c r="Q13" s="184">
        <f t="shared" si="6"/>
        <v>655</v>
      </c>
      <c r="R13" s="184">
        <f t="shared" si="6"/>
        <v>12016</v>
      </c>
      <c r="S13" s="184">
        <f t="shared" si="6"/>
        <v>10513</v>
      </c>
      <c r="T13" s="184">
        <f t="shared" si="6"/>
        <v>4297</v>
      </c>
      <c r="U13" s="184">
        <f t="shared" si="6"/>
        <v>4005</v>
      </c>
      <c r="V13" s="184">
        <f t="shared" si="6"/>
        <v>10755</v>
      </c>
      <c r="W13" s="184">
        <f t="shared" si="6"/>
        <v>1642</v>
      </c>
      <c r="X13" s="184">
        <f t="shared" si="6"/>
        <v>1337</v>
      </c>
      <c r="Y13" s="184">
        <f t="shared" si="6"/>
        <v>162</v>
      </c>
      <c r="Z13" s="184">
        <f t="shared" si="6"/>
        <v>172</v>
      </c>
      <c r="AA13" s="184">
        <f t="shared" si="6"/>
        <v>164</v>
      </c>
      <c r="AB13" s="184">
        <f t="shared" si="6"/>
        <v>168</v>
      </c>
      <c r="AC13" s="184">
        <f t="shared" si="6"/>
        <v>0</v>
      </c>
      <c r="AD13" s="184">
        <f t="shared" si="6"/>
        <v>0</v>
      </c>
      <c r="AE13" s="184">
        <f t="shared" si="6"/>
        <v>0</v>
      </c>
      <c r="AF13" s="184">
        <f>SUBTOTAL(9,AF9:AF12)</f>
        <v>0</v>
      </c>
      <c r="AG13" s="184">
        <f t="shared" ref="AG13:AT13" si="7">SUBTOTAL(9,AG8:AG12)</f>
        <v>166</v>
      </c>
      <c r="AH13" s="184">
        <f t="shared" si="7"/>
        <v>157</v>
      </c>
      <c r="AI13" s="184">
        <f t="shared" si="7"/>
        <v>152</v>
      </c>
      <c r="AJ13" s="184">
        <f t="shared" si="7"/>
        <v>171</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10679</v>
      </c>
      <c r="AZ13" s="184">
        <f>SUBTOTAL(9,AZ8:AZ12)</f>
        <v>4454</v>
      </c>
      <c r="BA13" s="184">
        <f>SUBTOTAL(9,BA8:BA12)</f>
        <v>4157</v>
      </c>
      <c r="BB13" s="184">
        <f>SUBTOTAL(9,BB8:BB12)</f>
        <v>10926</v>
      </c>
      <c r="BC13" s="184">
        <f>SUBTOTAL(9,BC8:BC12)</f>
        <v>1331</v>
      </c>
      <c r="BD13" s="205">
        <f>IF(ISNUMBER(BA13/AZ13),BA13/AZ13," - ")</f>
        <v>0.9333183655141446</v>
      </c>
      <c r="BE13" s="206">
        <f>IF(ISNUMBER(BB13/BA13),BB13/BA13, " - ")</f>
        <v>2.628337743565071</v>
      </c>
      <c r="BF13" s="206">
        <f>IF(ISNUMBER(BC13/BA13),BC13/BA13, " - ")</f>
        <v>0.3201828241520327</v>
      </c>
      <c r="BG13" s="207">
        <f>IF(ISNUMBER((AY13+AZ13)/BA13),(AY13+AZ13)/BA13," - ")</f>
        <v>3.6403656483040656</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2003</v>
      </c>
      <c r="J15" s="183">
        <v>3140</v>
      </c>
      <c r="K15" s="183">
        <v>3282</v>
      </c>
      <c r="L15" s="183">
        <v>1911</v>
      </c>
      <c r="M15" s="183">
        <v>563</v>
      </c>
      <c r="N15" s="183">
        <v>2142</v>
      </c>
      <c r="O15" s="181">
        <v>38</v>
      </c>
      <c r="P15" s="183">
        <v>161</v>
      </c>
      <c r="Q15" s="183">
        <v>191</v>
      </c>
      <c r="R15" s="183">
        <v>414</v>
      </c>
      <c r="S15" s="183">
        <v>2338</v>
      </c>
      <c r="T15" s="183">
        <v>3116</v>
      </c>
      <c r="U15" s="183">
        <v>3193</v>
      </c>
      <c r="V15" s="183">
        <v>2325</v>
      </c>
      <c r="W15" s="183">
        <v>469</v>
      </c>
      <c r="X15" s="189">
        <v>2129</v>
      </c>
      <c r="Y15" s="202">
        <v>0</v>
      </c>
      <c r="Z15" s="183">
        <v>0</v>
      </c>
      <c r="AA15" s="183">
        <v>0</v>
      </c>
      <c r="AB15" s="183">
        <v>0</v>
      </c>
      <c r="AC15" s="183">
        <v>0</v>
      </c>
      <c r="AD15" s="183">
        <v>2</v>
      </c>
      <c r="AE15" s="183">
        <v>2</v>
      </c>
      <c r="AF15" s="189">
        <v>0</v>
      </c>
      <c r="AG15" s="202">
        <v>0</v>
      </c>
      <c r="AH15" s="183">
        <v>0</v>
      </c>
      <c r="AI15" s="183">
        <v>0</v>
      </c>
      <c r="AJ15" s="203">
        <v>0</v>
      </c>
      <c r="AK15" s="182">
        <v>0</v>
      </c>
      <c r="AL15" s="183">
        <v>1</v>
      </c>
      <c r="AM15" s="183">
        <v>1</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2338</v>
      </c>
      <c r="AZ15" s="129">
        <f t="shared" si="9"/>
        <v>3116</v>
      </c>
      <c r="BA15" s="129">
        <f t="shared" si="9"/>
        <v>3193</v>
      </c>
      <c r="BB15" s="129">
        <f t="shared" si="9"/>
        <v>2325</v>
      </c>
      <c r="BC15" s="125">
        <f>IF(ISNUMBER(W15),W15," - ")</f>
        <v>469</v>
      </c>
      <c r="BD15" s="126">
        <f>IF(ISNUMBER(BA15/AZ15),BA15/AZ15," - ")</f>
        <v>1.0247111681643133</v>
      </c>
      <c r="BE15" s="127">
        <f>IF(ISNUMBER(BB15/BA15),BB15/BA15, " - ")</f>
        <v>0.72815533980582525</v>
      </c>
      <c r="BF15" s="127">
        <f>IF(ISNUMBER(BC15/BA15),BC15/BA15, " - ")</f>
        <v>0.14688380833072345</v>
      </c>
      <c r="BG15" s="196">
        <f t="shared" ref="BG15:BG16" si="10">IF(ISNUMBER((AY15+AZ15)/BA15),(AY15+AZ15)/BA15," - ")</f>
        <v>1.7081114938928907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v>
      </c>
      <c r="J16" s="183">
        <v>0</v>
      </c>
      <c r="K16" s="183">
        <v>0</v>
      </c>
      <c r="L16" s="183">
        <v>10</v>
      </c>
      <c r="M16" s="183">
        <v>0</v>
      </c>
      <c r="N16" s="183">
        <v>0</v>
      </c>
      <c r="O16" s="181">
        <v>0</v>
      </c>
      <c r="P16" s="183">
        <v>0</v>
      </c>
      <c r="Q16" s="183">
        <v>0</v>
      </c>
      <c r="R16" s="183">
        <v>0</v>
      </c>
      <c r="S16" s="183">
        <v>10</v>
      </c>
      <c r="T16" s="183">
        <v>0</v>
      </c>
      <c r="U16" s="183">
        <v>0</v>
      </c>
      <c r="V16" s="183">
        <v>10</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10</v>
      </c>
      <c r="AZ16" s="127">
        <f t="shared" si="9"/>
        <v>0</v>
      </c>
      <c r="BA16" s="127">
        <f t="shared" si="9"/>
        <v>0</v>
      </c>
      <c r="BB16" s="127">
        <f t="shared" si="9"/>
        <v>10</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v>
      </c>
      <c r="J17" s="183">
        <v>0</v>
      </c>
      <c r="K17" s="183">
        <v>1</v>
      </c>
      <c r="L17" s="183">
        <v>19</v>
      </c>
      <c r="M17" s="183">
        <v>0</v>
      </c>
      <c r="N17" s="183">
        <v>0</v>
      </c>
      <c r="O17" s="183">
        <v>0</v>
      </c>
      <c r="P17" s="183">
        <v>0</v>
      </c>
      <c r="Q17" s="183">
        <v>0</v>
      </c>
      <c r="R17" s="183">
        <v>1</v>
      </c>
      <c r="S17" s="183">
        <v>42</v>
      </c>
      <c r="T17" s="183">
        <v>1</v>
      </c>
      <c r="U17" s="183">
        <v>7</v>
      </c>
      <c r="V17" s="183">
        <v>36</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42</v>
      </c>
      <c r="AZ17" s="129">
        <f t="shared" si="14"/>
        <v>1</v>
      </c>
      <c r="BA17" s="129">
        <f t="shared" si="14"/>
        <v>7</v>
      </c>
      <c r="BB17" s="129">
        <f t="shared" si="14"/>
        <v>36</v>
      </c>
      <c r="BC17" s="125">
        <f>IF(ISNUMBER(W17),W17," - ")</f>
        <v>0</v>
      </c>
      <c r="BD17" s="126">
        <f>IF(ISNUMBER(BA17/AZ17),BA17/AZ17," - ")</f>
        <v>7</v>
      </c>
      <c r="BE17" s="127">
        <f>IF(ISNUMBER(BB17/BA17),BB17/BA17, " - ")</f>
        <v>5.1428571428571432</v>
      </c>
      <c r="BF17" s="127">
        <f>IF(ISNUMBER(BC17/BA17),BC17/BA17, " - ")</f>
        <v>0</v>
      </c>
      <c r="BG17" s="196">
        <f>IF(ISNUMBER((AY17+AZ17)/BA17),(AY17+AZ17)/BA17," - ")</f>
        <v>6.1428571428571432</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2033</v>
      </c>
      <c r="J18" s="184">
        <f t="shared" si="15"/>
        <v>3140</v>
      </c>
      <c r="K18" s="184">
        <f t="shared" si="15"/>
        <v>3283</v>
      </c>
      <c r="L18" s="184">
        <f t="shared" si="15"/>
        <v>1940</v>
      </c>
      <c r="M18" s="184">
        <f t="shared" si="15"/>
        <v>563</v>
      </c>
      <c r="N18" s="184">
        <f t="shared" si="15"/>
        <v>2142</v>
      </c>
      <c r="O18" s="184">
        <f t="shared" si="15"/>
        <v>38</v>
      </c>
      <c r="P18" s="184">
        <f t="shared" si="15"/>
        <v>161</v>
      </c>
      <c r="Q18" s="184">
        <f t="shared" si="15"/>
        <v>191</v>
      </c>
      <c r="R18" s="184">
        <f t="shared" si="15"/>
        <v>415</v>
      </c>
      <c r="S18" s="184">
        <f t="shared" si="15"/>
        <v>2390</v>
      </c>
      <c r="T18" s="184">
        <f t="shared" si="15"/>
        <v>3117</v>
      </c>
      <c r="U18" s="184">
        <f t="shared" si="15"/>
        <v>3200</v>
      </c>
      <c r="V18" s="184">
        <f t="shared" si="15"/>
        <v>2371</v>
      </c>
      <c r="W18" s="184">
        <f t="shared" si="15"/>
        <v>469</v>
      </c>
      <c r="X18" s="184">
        <f t="shared" si="15"/>
        <v>2132</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2390</v>
      </c>
      <c r="AZ18" s="184">
        <f>SUBTOTAL(9,AZ14:AZ17)</f>
        <v>3117</v>
      </c>
      <c r="BA18" s="184">
        <f>SUBTOTAL(9,BA14:BA17)</f>
        <v>3200</v>
      </c>
      <c r="BB18" s="184">
        <f>SUBTOTAL(9,BB14:BB17)</f>
        <v>2371</v>
      </c>
      <c r="BC18" s="184">
        <f>SUBTOTAL(9,BC14:BC17)</f>
        <v>469</v>
      </c>
      <c r="BD18" s="205">
        <f>IF(ISNUMBER(BA18/AZ18),BA18/AZ18," - ")</f>
        <v>1.0266281681103626</v>
      </c>
      <c r="BE18" s="206">
        <f>IF(ISNUMBER(BB18/BA18),BB18/BA18, " - ")</f>
        <v>0.74093750000000003</v>
      </c>
      <c r="BF18" s="206">
        <f>IF(ISNUMBER(BC18/BA18),BC18/BA18, " - ")</f>
        <v>0.14656250000000001</v>
      </c>
      <c r="BG18" s="207">
        <f>IF(ISNUMBER((AY18+AZ18)/BA18),(AY18+AZ18)/BA18," - ")</f>
        <v>1.7209375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11961</v>
      </c>
      <c r="J19" s="134">
        <f t="shared" si="18"/>
        <v>6672</v>
      </c>
      <c r="K19" s="134">
        <f t="shared" si="18"/>
        <v>8063</v>
      </c>
      <c r="L19" s="134">
        <f t="shared" si="18"/>
        <v>10696</v>
      </c>
      <c r="M19" s="134">
        <f t="shared" si="18"/>
        <v>2484</v>
      </c>
      <c r="N19" s="134">
        <f t="shared" si="18"/>
        <v>3669</v>
      </c>
      <c r="O19" s="134">
        <f t="shared" si="18"/>
        <v>1610</v>
      </c>
      <c r="P19" s="134">
        <f t="shared" si="18"/>
        <v>1001</v>
      </c>
      <c r="Q19" s="134">
        <f t="shared" si="18"/>
        <v>846</v>
      </c>
      <c r="R19" s="134">
        <f t="shared" si="18"/>
        <v>12431</v>
      </c>
      <c r="S19" s="134">
        <f t="shared" si="18"/>
        <v>12903</v>
      </c>
      <c r="T19" s="134">
        <f t="shared" si="18"/>
        <v>7414</v>
      </c>
      <c r="U19" s="134">
        <f t="shared" si="18"/>
        <v>7205</v>
      </c>
      <c r="V19" s="134">
        <f t="shared" si="18"/>
        <v>13126</v>
      </c>
      <c r="W19" s="134">
        <f t="shared" si="18"/>
        <v>2111</v>
      </c>
      <c r="X19" s="134">
        <f t="shared" si="18"/>
        <v>3469</v>
      </c>
      <c r="Y19" s="134">
        <f t="shared" si="18"/>
        <v>162</v>
      </c>
      <c r="Z19" s="134">
        <f t="shared" si="18"/>
        <v>172</v>
      </c>
      <c r="AA19" s="134">
        <f t="shared" si="18"/>
        <v>164</v>
      </c>
      <c r="AB19" s="134">
        <f t="shared" si="18"/>
        <v>168</v>
      </c>
      <c r="AC19" s="134">
        <f t="shared" si="18"/>
        <v>0</v>
      </c>
      <c r="AD19" s="134">
        <f t="shared" si="18"/>
        <v>2</v>
      </c>
      <c r="AE19" s="134">
        <f t="shared" si="18"/>
        <v>2</v>
      </c>
      <c r="AF19" s="134">
        <f t="shared" si="18"/>
        <v>0</v>
      </c>
      <c r="AG19" s="134">
        <f t="shared" si="18"/>
        <v>166</v>
      </c>
      <c r="AH19" s="134">
        <f t="shared" si="18"/>
        <v>157</v>
      </c>
      <c r="AI19" s="134">
        <f t="shared" si="18"/>
        <v>152</v>
      </c>
      <c r="AJ19" s="134">
        <f t="shared" si="18"/>
        <v>171</v>
      </c>
      <c r="AK19" s="134">
        <f t="shared" si="18"/>
        <v>0</v>
      </c>
      <c r="AL19" s="134">
        <f t="shared" si="18"/>
        <v>1</v>
      </c>
      <c r="AM19" s="134">
        <f t="shared" si="18"/>
        <v>1</v>
      </c>
      <c r="AN19" s="210">
        <f t="shared" si="18"/>
        <v>0</v>
      </c>
      <c r="AO19" s="211">
        <v>13</v>
      </c>
      <c r="AP19" s="211">
        <v>12</v>
      </c>
      <c r="AQ19" s="211">
        <v>12</v>
      </c>
      <c r="AR19" s="211">
        <v>12</v>
      </c>
      <c r="AS19" s="153">
        <f t="shared" si="18"/>
        <v>0</v>
      </c>
      <c r="AT19" s="153">
        <f t="shared" si="18"/>
        <v>0</v>
      </c>
      <c r="AU19" s="211"/>
      <c r="AV19" s="212"/>
      <c r="AW19" s="211"/>
      <c r="AX19" s="212"/>
      <c r="AY19" s="133">
        <f>SUBTOTAL(9,AY9:AY18)</f>
        <v>13069</v>
      </c>
      <c r="AZ19" s="134">
        <f>SUBTOTAL(9,AZ9:AZ18)</f>
        <v>7571</v>
      </c>
      <c r="BA19" s="134">
        <f>SUBTOTAL(9,BA9:BA18)</f>
        <v>7357</v>
      </c>
      <c r="BB19" s="134">
        <f>SUBTOTAL(9,BB9:BB18)</f>
        <v>13297</v>
      </c>
      <c r="BC19" s="135">
        <f>SUBTOTAL(9,BC9:BC18)</f>
        <v>1800</v>
      </c>
      <c r="BD19" s="213">
        <f>IF(ISNUMBER(BA19/AZ19),BA19/AZ19," - ")</f>
        <v>0.97173424910844008</v>
      </c>
      <c r="BE19" s="210">
        <f>IF(ISNUMBER(BB19/BA19),BB19/BA19, " - ")</f>
        <v>1.8073943183362784</v>
      </c>
      <c r="BF19" s="210">
        <f>IF(ISNUMBER(BC19/BA19),BC19/BA19, " - ")</f>
        <v>0.24466494495038738</v>
      </c>
      <c r="BG19" s="135">
        <f>IF(ISNUMBER((AY19+AZ19)/BA19),(AY19+AZ19)/BA19," - ")</f>
        <v>2.8054913687644421</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i9EVMDYtj71Ni1/t9MR7+K+9rhIMdaVAkJI7uGLoBQ01GyJ5ZfrYuyfOYbt4fpb7R+B0w9pzk07ZUYsSxrr0Q==" saltValue="Rz0p8FNdss4yCdYpRUU7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cPrOo1VEGNQmBJPmzcQ5alXiSVUaaNPEQf5BUbTBuFHgv+kC9NIn8LJyfjb3xGoJWSb583C7KiubHJi02UhrA==" saltValue="dARTmfbzAYxQYZAaEafoV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CRISTOBAL DE LA LAGUNA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100</v>
      </c>
      <c r="O9" s="334"/>
      <c r="P9" s="334"/>
      <c r="Q9" s="226">
        <f>IF(ISNUMBER(Datos!P9),Datos!P9,0)</f>
        <v>840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654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113</v>
      </c>
      <c r="AI9" s="334" t="str">
        <f>IF(ISNUMBER(Datos!CD9),Datos!CD9,"-")</f>
        <v>-</v>
      </c>
      <c r="AJ9" s="334" t="str">
        <f>IF(ISNUMBER(Datos!EN9),Datos!EN9," - ")</f>
        <v xml:space="preserve"> - </v>
      </c>
      <c r="AK9" s="334"/>
      <c r="AL9" s="479"/>
      <c r="AM9" s="335">
        <f>IF(ISNUMBER(Datos!R9),Datos!R9," - ")</f>
        <v>11951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1838</v>
      </c>
      <c r="BD9" s="229">
        <f>IF(ISNUMBER(Datos!N9),Datos!N9," - ")</f>
        <v>1463</v>
      </c>
      <c r="BE9" s="229" t="str">
        <f>IF(ISNUMBER(Datos!BW9),Datos!BW9," - ")</f>
        <v xml:space="preserve"> - </v>
      </c>
      <c r="BF9" s="228" t="str">
        <f>IF(ISNUMBER(Datos!BX9),Datos!BX9," - ")</f>
        <v xml:space="preserve"> - </v>
      </c>
      <c r="BG9" s="243">
        <f>IF(ISNUMBER(IF(J_V="SI",Datos!K9/Datos!J9,(Datos!K9+Datos!AA9)/(Datos!J9+Datos!Z9))),IF(J_V="SI",Datos!K9/Datos!J9,(Datos!K9+Datos!AA9)/(Datos!J9+Datos!Z9))," - ")</f>
        <v>1.4096349491322562</v>
      </c>
      <c r="BH9" s="260">
        <f>IF(ISNUMBER(((IF(J_V="SI",Datos!L9/Datos!K9,(Datos!L9+Datos!AB9)/(Datos!K9+Datos!AA9)))*11)/factor_trimestre),((IF(J_V="SI",Datos!L9/Datos!K9,(Datos!L9+Datos!AB9)/(Datos!K9+Datos!AA9)))*11)/factor_trimestre," - ")</f>
        <v>5.4466143069412016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1.5809604759881003E-2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11</v>
      </c>
      <c r="AG10" s="334"/>
      <c r="AH10" s="334"/>
      <c r="AI10" s="334"/>
      <c r="AJ10" s="334"/>
      <c r="AK10" s="334"/>
      <c r="AL10" s="479"/>
      <c r="AM10" s="335">
        <f>IF(ISNUMBER(Datos!R10),Datos!R10," - ")</f>
        <v>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-1.5151515151515152E-2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72</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0</v>
      </c>
      <c r="AD11" s="334"/>
      <c r="AE11" s="484"/>
      <c r="AF11" s="332" t="str">
        <f>IF(ISNUMBER(IF(J_V="SI",Datos!L11,Datos!L11+Datos!AB11)-IF(Monitorios="SI",Datos!CD11,0)),
                          IF(J_V="SI",Datos!L11,Datos!L11+Datos!AB11)-IF(Monitorios="SI",Datos!CD11,0),
                          " - ")</f>
        <v xml:space="preserve"> - </v>
      </c>
      <c r="AG11" s="334"/>
      <c r="AH11" s="334">
        <f>IF(ISNUMBER(Datos!AB11),Datos!AB11,"-")</f>
        <v>55</v>
      </c>
      <c r="AI11" s="334"/>
      <c r="AJ11" s="334"/>
      <c r="AK11" s="334"/>
      <c r="AL11" s="479"/>
      <c r="AM11" s="335">
        <f>IF(ISNUMBER(Datos!R11),Datos!R11," - ")</f>
        <v>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82</v>
      </c>
      <c r="BD11" s="229">
        <f>IF(ISNUMBER(Datos!N11),Datos!N11," - ")</f>
        <v>64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0.63711911357340723</v>
      </c>
      <c r="BH11" s="260">
        <f>IF(ISNUMBER(((IF(J_V="SI",Datos!L11/Datos!K11,(Datos!L11+Datos!AB11)/(Datos!K11+Datos!AA11)))*11)/factor_trimestre),((IF(J_V="SI",Datos!L11/Datos!K11,(Datos!L11+Datos!AB11)/(Datos!K11+Datos!AA11)))*11)/factor_trimestre," - ")</f>
        <v>4.6956521739130439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172</v>
      </c>
      <c r="O13" s="900">
        <f t="shared" si="0"/>
        <v>0</v>
      </c>
      <c r="P13" s="900">
        <f t="shared" si="0"/>
        <v>0</v>
      </c>
      <c r="Q13" s="899">
        <f t="shared" si="0"/>
        <v>840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655</v>
      </c>
      <c r="AD13" s="899">
        <f t="shared" si="1"/>
        <v>0</v>
      </c>
      <c r="AE13" s="899">
        <f t="shared" si="1"/>
        <v>0</v>
      </c>
      <c r="AF13" s="899">
        <f t="shared" si="1"/>
        <v>11</v>
      </c>
      <c r="AG13" s="899">
        <f t="shared" si="1"/>
        <v>0</v>
      </c>
      <c r="AH13" s="899">
        <f t="shared" si="1"/>
        <v>168</v>
      </c>
      <c r="AI13" s="899">
        <f t="shared" si="1"/>
        <v>0</v>
      </c>
      <c r="AJ13" s="899">
        <f t="shared" si="1"/>
        <v>0</v>
      </c>
      <c r="AK13" s="899">
        <f t="shared" si="1"/>
        <v>0</v>
      </c>
      <c r="AL13" s="899">
        <f t="shared" si="1"/>
        <v>0</v>
      </c>
      <c r="AM13" s="899">
        <f t="shared" si="1"/>
        <v>12016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1921</v>
      </c>
      <c r="BD13" s="899">
        <f t="shared" si="1"/>
        <v>1527</v>
      </c>
      <c r="BE13" s="899">
        <f t="shared" si="1"/>
        <v>0</v>
      </c>
      <c r="BF13" s="899">
        <f t="shared" si="1"/>
        <v>0</v>
      </c>
      <c r="BG13" s="899">
        <f>IF(ISNUMBER(Datos!K13/Datos!J13),Datos!K13/Datos!J13," - ")</f>
        <v>1.3533408833522085</v>
      </c>
      <c r="BH13" s="903">
        <f>IF(ISNUMBER(((Datos!L13/Datos!K13)*11)/factor_trimestre),((Datos!L13/Datos!K13)*11)/factor_trimestre," - ")</f>
        <v>5.4953974895397488</v>
      </c>
      <c r="BI13" s="899">
        <f>IF(ISNUMBER('Resol  Asuntos'!D13/NºAsuntos!G13),'Resol  Asuntos'!D13/NºAsuntos!G13," - ")</f>
        <v>0.38855177993527507</v>
      </c>
      <c r="BJ13" s="899" t="str">
        <f>IF(ISNUMBER(Datos!CI13/Datos!CJ13),Datos!CI13/Datos!CJ13," - ")</f>
        <v xml:space="preserve"> - </v>
      </c>
      <c r="BK13" s="899">
        <f>SUBTOTAL(9,BK8:BK12)</f>
        <v>0</v>
      </c>
      <c r="BL13" s="899">
        <f>IF(ISNUMBER((I13-AB13+L13)/(F13)),(I13-AB13+L13)/(F13)," - ")</f>
        <v>-0.23076923076923078</v>
      </c>
      <c r="BM13" s="904">
        <f>SUBTOTAL(9,BM9:BM12)</f>
        <v>6.5808960836585134E-4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2053</v>
      </c>
      <c r="G15" s="598">
        <f>IF(ISNUMBER(IF(D_I="SI",Datos!I15,Datos!I15+Datos!AC15)),IF(D_I="SI",Datos!I15,Datos!I15+Datos!AC15)," - ")</f>
        <v>2003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161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3282</v>
      </c>
      <c r="AC15" s="226">
        <f>IF(ISNUMBER(Datos!Q15),Datos!Q15," - ")</f>
        <v>191</v>
      </c>
      <c r="AD15" s="334"/>
      <c r="AE15" s="484"/>
      <c r="AF15" s="596">
        <f>IF(ISNUMBER(IF(D_I="SI",Datos!L15,Datos!L15+Datos!AF15)),IF(D_I="SI",Datos!L15,Datos!L15+Datos!AF15)," - ")</f>
        <v>1911</v>
      </c>
      <c r="AG15" s="334"/>
      <c r="AH15" s="334"/>
      <c r="AI15" s="334"/>
      <c r="AJ15" s="334"/>
      <c r="AK15" s="334"/>
      <c r="AL15" s="479"/>
      <c r="AM15" s="335">
        <f>IF(ISNUMBER(Datos!R15),Datos!R15," - ")</f>
        <v>414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563</v>
      </c>
      <c r="BD15" s="229">
        <f>IF(ISNUMBER(Datos!N15),Datos!N15," - ")</f>
        <v>2142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1.0452229299363058</v>
      </c>
      <c r="BH15" s="260">
        <f>IF(ISNUMBER(((IF(D_I="SI",Datos!L15/Datos!K15,(Datos!L15+Datos!AF15)/(Datos!K15+Datos!AE15)))*11)/factor_trimestre),((IF(D_I="SI",Datos!L15/Datos!K15,(Datos!L15+Datos!AF15)/(Datos!K15+Datos!AE15)))*11)/factor_trimestre," - ")</f>
        <v>1.746800731261426</v>
      </c>
      <c r="BI15" s="243">
        <f>IF(ISNUMBER('Resol  Asuntos'!D15/NºAsuntos!G15),'Resol  Asuntos'!D15/NºAsuntos!G15," - ")</f>
        <v>0.17154174283973186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10</v>
      </c>
      <c r="G16" s="598">
        <f>IF(ISNUMBER(IF(D_I="SI",Datos!I16,Datos!I16+Datos!AC16)),IF(D_I="SI",Datos!I16,Datos!I16+Datos!AC16)," - ")</f>
        <v>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10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19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57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2063</v>
      </c>
      <c r="G18" s="898">
        <f>SUBTOTAL(9,G15:G17)</f>
        <v>2033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3283</v>
      </c>
      <c r="AC18" s="899">
        <f t="shared" si="4"/>
        <v>191</v>
      </c>
      <c r="AD18" s="899">
        <f t="shared" si="4"/>
        <v>0</v>
      </c>
      <c r="AE18" s="899">
        <f t="shared" si="4"/>
        <v>0</v>
      </c>
      <c r="AF18" s="899">
        <f t="shared" si="4"/>
        <v>1940</v>
      </c>
      <c r="AG18" s="899">
        <f t="shared" si="4"/>
        <v>0</v>
      </c>
      <c r="AH18" s="899">
        <f t="shared" si="4"/>
        <v>0</v>
      </c>
      <c r="AI18" s="899">
        <f t="shared" si="4"/>
        <v>0</v>
      </c>
      <c r="AJ18" s="899">
        <f t="shared" si="4"/>
        <v>0</v>
      </c>
      <c r="AK18" s="899">
        <f t="shared" si="4"/>
        <v>0</v>
      </c>
      <c r="AL18" s="899">
        <f t="shared" si="4"/>
        <v>0</v>
      </c>
      <c r="AM18" s="899">
        <f t="shared" si="4"/>
        <v>415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563</v>
      </c>
      <c r="BD18" s="899">
        <f t="shared" si="4"/>
        <v>2142</v>
      </c>
      <c r="BE18" s="899">
        <f t="shared" si="4"/>
        <v>0</v>
      </c>
      <c r="BF18" s="899">
        <f t="shared" si="4"/>
        <v>0</v>
      </c>
      <c r="BG18" s="899">
        <f>IF(ISNUMBER(Datos!K18/Datos!J18),Datos!K18/Datos!J18," - ")</f>
        <v>1.0455414012738853</v>
      </c>
      <c r="BH18" s="903">
        <f>IF(ISNUMBER(((Datos!L18/Datos!K18)*11)/factor_trimestre),((Datos!L18/Datos!K18)*11)/factor_trimestre," - ")</f>
        <v>1.772768809016144</v>
      </c>
      <c r="BI18" s="899">
        <f>SUBTOTAL(9,BI15:BI17)</f>
        <v>0.17154174283973186</v>
      </c>
      <c r="BJ18" s="899">
        <f>SUBTOTAL(9,BJ15:BJ17)</f>
        <v>0</v>
      </c>
      <c r="BK18" s="899">
        <f>SUBTOTAL(9,BK15:BK17)</f>
        <v>0</v>
      </c>
      <c r="BL18" s="899">
        <f>IF(ISNUMBER((I18-AB18+L18)/(F18)),(I18-AB18+L18)/(F18)," - ")</f>
        <v>-1.5913717886572951</v>
      </c>
      <c r="BM18" s="905">
        <f>IF(ISNUMBER((Datos!P18-Datos!Q18)/(Datos!R18-Datos!P18+Datos!Q18)),(Datos!P18-Datos!Q18)/(Datos!R18-Datos!P18+Datos!Q18)," - ")</f>
        <v>-6.741573033707865E-2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2076</v>
      </c>
      <c r="G19" s="820">
        <f t="shared" si="6"/>
        <v>2046</v>
      </c>
      <c r="H19" s="822">
        <f t="shared" si="6"/>
        <v>0</v>
      </c>
      <c r="I19" s="820">
        <f t="shared" si="6"/>
        <v>0</v>
      </c>
      <c r="J19" s="822">
        <f t="shared" si="6"/>
        <v>0</v>
      </c>
      <c r="K19" s="822">
        <f t="shared" si="6"/>
        <v>0</v>
      </c>
      <c r="L19" s="881">
        <f t="shared" si="6"/>
        <v>0</v>
      </c>
      <c r="M19" s="881">
        <f t="shared" si="6"/>
        <v>0</v>
      </c>
      <c r="N19" s="881">
        <f t="shared" si="6"/>
        <v>172</v>
      </c>
      <c r="O19" s="881">
        <f t="shared" si="6"/>
        <v>0</v>
      </c>
      <c r="P19" s="881">
        <f t="shared" si="6"/>
        <v>0</v>
      </c>
      <c r="Q19" s="822">
        <f t="shared" si="6"/>
        <v>1001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3286</v>
      </c>
      <c r="AC19" s="821">
        <f t="shared" si="7"/>
        <v>846</v>
      </c>
      <c r="AD19" s="821">
        <f t="shared" si="7"/>
        <v>0</v>
      </c>
      <c r="AE19" s="821">
        <f t="shared" si="7"/>
        <v>0</v>
      </c>
      <c r="AF19" s="828">
        <f t="shared" si="7"/>
        <v>1951</v>
      </c>
      <c r="AG19" s="828">
        <f t="shared" si="7"/>
        <v>0</v>
      </c>
      <c r="AH19" s="828">
        <f t="shared" si="7"/>
        <v>168</v>
      </c>
      <c r="AI19" s="828">
        <f t="shared" si="7"/>
        <v>0</v>
      </c>
      <c r="AJ19" s="821">
        <f t="shared" si="7"/>
        <v>0</v>
      </c>
      <c r="AK19" s="828">
        <f t="shared" si="7"/>
        <v>0</v>
      </c>
      <c r="AL19" s="828">
        <f t="shared" si="7"/>
        <v>0</v>
      </c>
      <c r="AM19" s="828">
        <f t="shared" si="7"/>
        <v>12431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2484</v>
      </c>
      <c r="BD19" s="820">
        <f t="shared" si="7"/>
        <v>3669</v>
      </c>
      <c r="BE19" s="820">
        <f t="shared" si="7"/>
        <v>0</v>
      </c>
      <c r="BF19" s="830">
        <f t="shared" si="7"/>
        <v>0</v>
      </c>
      <c r="BG19" s="915">
        <f>IF(ISNUMBER(Datos!K19/Datos!J19),Datos!K19/Datos!J19," - ")</f>
        <v>1.2084832134292567</v>
      </c>
      <c r="BH19" s="915">
        <f>IF(ISNUMBER(((Datos!L19/Datos!K19)*11)/factor_trimestre),((Datos!L19/Datos!K19)*11)/factor_trimestre," - ")</f>
        <v>3.9796601761131094</v>
      </c>
      <c r="BI19" s="813">
        <f>IF(ISNUMBER(Datos!J19/Datos!I19),Datos!J19/Datos!I19," - ")</f>
        <v>0.55781289189867067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-1.5828516377649327</v>
      </c>
      <c r="BM19" s="889">
        <f>IF(ISNUMBER((Datos!P19-Datos!Q19+R19)/(Datos!R19-Datos!P19+Datos!Q19-R19)),(Datos!P19-Datos!Q19+R19)/(Datos!R19-Datos!P19+Datos!Q19-R19)," - ")</f>
        <v>1.2626262626262626E-2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682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3.2015621187164243</v>
      </c>
      <c r="F21" s="551">
        <f>IF(ISNUMBER(STDEV(F8:F18)),STDEV(F8:F18),"-")</f>
        <v>1120.6465990668066</v>
      </c>
      <c r="G21" s="552">
        <f>IF(ISNUMBER(STDEV(G8:G18)),STDEV(G8:G18),"-")</f>
        <v>1034.9098511464658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1694.1724430135991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812.75721203461842</v>
      </c>
      <c r="BD21" s="551"/>
      <c r="BE21" s="551">
        <f>IF(ISNUMBER(STDEV(BE8:BE18)),STDEV(BE8:BE18),"-")</f>
        <v>0</v>
      </c>
      <c r="BF21" s="556">
        <f>IF(ISNUMBER(STDEV(BF8:BF18)),STDEV(BF8:BF18),"-")</f>
        <v>0</v>
      </c>
      <c r="BG21" s="775">
        <f>IF(ISNUMBER(STDEV(BG8:BG18)),STDEV(BG8:BG18),"-")</f>
        <v>0.82394040058276174</v>
      </c>
      <c r="BH21" s="776">
        <f>IF(ISNUMBER(STDEV(BH8:BH18)),STDEV(BH8:BH18),"-")</f>
        <v>19.886806977111792</v>
      </c>
      <c r="BI21" s="249">
        <f>IF(ISNUMBER(STDEV(BI8:BI18)),STDEV(BI8:BI18),"-")</f>
        <v>0.15916771478649858</v>
      </c>
      <c r="BJ21" s="230" t="str">
        <f>IF(ISNUMBER(BL21/BM21),BL21/BM21," - ")</f>
        <v xml:space="preserve"> - </v>
      </c>
      <c r="BK21" s="575"/>
      <c r="BL21" s="559">
        <f>IF(ISNUMBER(STDEV(BL8:BL18)),STDEV(BL8:BL18),"-")</f>
        <v>0.96209129518241232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1j6bDrF/vVkcAmom2VkhgJk/Fdvh3FoXQ2uUpaT2x+diZImEidMb/0XFIN89ckx1QguZXxguQzQQJohov7lmpA==" saltValue="HnCC58KvH2pFZHcAimfr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 CRISTOBAL DE LA LAGUNA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840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654</v>
      </c>
      <c r="AA9" s="332" t="str">
        <f>IF(ISNUMBER(IF(J_V="SI",Datos!L9,Datos!L9+Datos!AB9)-IF(Monitorios="SI",Datos!CD9,0)),
                          IF(J_V="SI",Datos!L9,Datos!L9+Datos!AB9)-IF(Monitorios="SI",Datos!CD9,0),
                          " - ")</f>
        <v xml:space="preserve"> - </v>
      </c>
      <c r="AB9" s="334"/>
      <c r="AC9" s="334"/>
      <c r="AD9" s="484"/>
      <c r="AE9" s="484">
        <f>IF(ISNUMBER(Datos!R9),Datos!R9," - ")</f>
        <v>11951</v>
      </c>
      <c r="AF9" s="229" t="str">
        <f>IF(ISNUMBER(Datos!BV9),Datos!BV9," - ")</f>
        <v xml:space="preserve"> - </v>
      </c>
      <c r="AG9" s="225" t="str">
        <f>IF(ISNUMBER(Datos!DV9),Datos!DV9," - ")</f>
        <v xml:space="preserve"> - </v>
      </c>
      <c r="AH9" s="298"/>
      <c r="AI9" s="227"/>
      <c r="AJ9" s="225">
        <f>IF(ISNUMBER(Datos!M9),Datos!M9," - ")</f>
        <v>1838</v>
      </c>
      <c r="AK9" s="229">
        <f>IF(ISNUMBER(Datos!N9),Datos!N9," - ")</f>
        <v>1463</v>
      </c>
      <c r="AL9" s="229" t="str">
        <f>IF(ISNUMBER(Datos!BW9),Datos!BW9," - ")</f>
        <v xml:space="preserve"> - </v>
      </c>
      <c r="AM9" s="228" t="str">
        <f>IF(ISNUMBER(Datos!BX9),Datos!BX9," - ")</f>
        <v xml:space="preserve"> - </v>
      </c>
      <c r="AN9" s="243"/>
      <c r="AO9" s="260">
        <f>IF(ISNUMBER(((NºAsuntos!I9/NºAsuntos!G9)*11)/factor_trimestre),((NºAsuntos!I9/NºAsuntos!G9)*11)/factor_trimestre," - ")</f>
        <v>5.4466143069412016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1.5809604759881003E-2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11</v>
      </c>
      <c r="AB10" s="334"/>
      <c r="AC10" s="334"/>
      <c r="AD10" s="484"/>
      <c r="AE10" s="484">
        <f>IF(ISNUMBER(Datos!R10),Datos!R10," - ")</f>
        <v>65</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-1.5151515151515152E-2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0</v>
      </c>
      <c r="AA11" s="332" t="str">
        <f>IF(ISNUMBER(IF(J_V="SI",Datos!L11,Datos!L11+Datos!AB11)-IF(Monitorios="SI",Datos!CD11,0)),
                          IF(J_V="SI",Datos!L11,Datos!L11+Datos!AB11)-IF(Monitorios="SI",Datos!CD11,0),
                          " - ")</f>
        <v xml:space="preserve"> - </v>
      </c>
      <c r="AB11" s="334"/>
      <c r="AC11" s="334"/>
      <c r="AD11" s="484"/>
      <c r="AE11" s="484">
        <f>IF(ISNUMBER(Datos!R11),Datos!R11," - ")</f>
        <v>0</v>
      </c>
      <c r="AF11" s="229" t="str">
        <f>IF(ISNUMBER(Datos!BV11),Datos!BV11," - ")</f>
        <v xml:space="preserve"> - </v>
      </c>
      <c r="AG11" s="225" t="str">
        <f>IF(ISNUMBER(Datos!DV11),Datos!DV11," - ")</f>
        <v xml:space="preserve"> - </v>
      </c>
      <c r="AH11" s="298"/>
      <c r="AI11" s="227"/>
      <c r="AJ11" s="225">
        <f>IF(ISNUMBER(Datos!M11),Datos!M11," - ")</f>
        <v>82</v>
      </c>
      <c r="AK11" s="229">
        <f>IF(ISNUMBER(Datos!N11),Datos!N11," - ")</f>
        <v>64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4.6956521739130439</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840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655</v>
      </c>
      <c r="AA13" s="900">
        <f t="shared" si="2"/>
        <v>11</v>
      </c>
      <c r="AB13" s="900">
        <f t="shared" si="2"/>
        <v>0</v>
      </c>
      <c r="AC13" s="900">
        <f t="shared" si="2"/>
        <v>0</v>
      </c>
      <c r="AD13" s="900">
        <f t="shared" si="2"/>
        <v>0</v>
      </c>
      <c r="AE13" s="900">
        <f t="shared" si="2"/>
        <v>12016</v>
      </c>
      <c r="AF13" s="908">
        <f t="shared" si="2"/>
        <v>0</v>
      </c>
      <c r="AG13" s="908">
        <f t="shared" si="2"/>
        <v>0</v>
      </c>
      <c r="AH13" s="908">
        <f t="shared" si="2"/>
        <v>0</v>
      </c>
      <c r="AI13" s="908">
        <f t="shared" si="2"/>
        <v>0</v>
      </c>
      <c r="AJ13" s="908">
        <f t="shared" si="2"/>
        <v>1921</v>
      </c>
      <c r="AK13" s="908">
        <f t="shared" si="2"/>
        <v>1527</v>
      </c>
      <c r="AL13" s="908">
        <f t="shared" si="2"/>
        <v>0</v>
      </c>
      <c r="AM13" s="908">
        <f t="shared" si="2"/>
        <v>0</v>
      </c>
      <c r="AN13" s="908">
        <f t="shared" si="2"/>
        <v>0</v>
      </c>
      <c r="AO13" s="904">
        <f>IF(ISNUMBER(((NºAsuntos!I13/NºAsuntos!G13)*11)/factor_trimestre),((NºAsuntos!I13/NºAsuntos!G13)*11)/factor_trimestre," - ")</f>
        <v>5.4150485436893208</v>
      </c>
      <c r="AP13" s="910" t="str">
        <f>IF(ISNUMBER(Datos!CI13/Datos!CJ13),Datos!CI13/Datos!CJ13," - ")</f>
        <v xml:space="preserve"> - </v>
      </c>
      <c r="AQ13" s="928">
        <f t="shared" ref="AQ13:AV13" si="3">SUBTOTAL(9,AQ9:AQ12)</f>
        <v>0</v>
      </c>
      <c r="AR13" s="928">
        <f t="shared" si="3"/>
        <v>6.5808960836585134E-4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2053</v>
      </c>
      <c r="G15" s="225">
        <f>IF(ISNUMBER(IF(D_I="SI",Datos!I15,Datos!I15+Datos!AC15)),IF(D_I="SI",Datos!I15,Datos!I15+Datos!AC15)," - ")</f>
        <v>2003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161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3282</v>
      </c>
      <c r="Z15" s="619">
        <f>IF(ISNUMBER(Datos!Q15),Datos!Q15," - ")</f>
        <v>191</v>
      </c>
      <c r="AA15" s="332">
        <f>IF(ISNUMBER(IF(D_I="SI",Datos!L15,Datos!L15+Datos!AF15)),IF(D_I="SI",Datos!L15,Datos!L15+Datos!AF15)," - ")</f>
        <v>1911</v>
      </c>
      <c r="AB15" s="334"/>
      <c r="AC15" s="334"/>
      <c r="AD15" s="484"/>
      <c r="AE15" s="484">
        <f>IF(ISNUMBER(Datos!R15),Datos!R15," - ")</f>
        <v>414</v>
      </c>
      <c r="AF15" s="229" t="str">
        <f>IF(ISNUMBER(Datos!BV15),Datos!BV15," - ")</f>
        <v xml:space="preserve"> - </v>
      </c>
      <c r="AG15" s="225"/>
      <c r="AH15" s="298"/>
      <c r="AI15" s="227"/>
      <c r="AJ15" s="225">
        <f>IF(ISNUMBER(Datos!M15),Datos!M15," - ")</f>
        <v>563</v>
      </c>
      <c r="AK15" s="229">
        <f>IF(ISNUMBER(Datos!N15),Datos!N15," - ")</f>
        <v>2142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1.746800731261426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10</v>
      </c>
      <c r="G16" s="225">
        <f>IF(ISNUMBER(IF(D_I="SI",Datos!I16,Datos!I16+Datos!AC16)),IF(D_I="SI",Datos!I16,Datos!I16+Datos!AC16)," - ")</f>
        <v>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10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19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2063</v>
      </c>
      <c r="G18" s="898">
        <f>SUBTOTAL(9,G15:G17)</f>
        <v>2033</v>
      </c>
      <c r="H18" s="932">
        <f>SUBTOTAL(9,H15:H17)</f>
        <v>0</v>
      </c>
      <c r="I18" s="911">
        <f>SUBTOTAL(9,I15:I17)</f>
        <v>0</v>
      </c>
      <c r="J18" s="867">
        <f>SUBTOTAL(9,J14:J17)</f>
        <v>0</v>
      </c>
      <c r="K18" s="932">
        <f t="shared" ref="K18:S18" si="4">SUBTOTAL(9,K15:K17)</f>
        <v>0</v>
      </c>
      <c r="L18" s="932">
        <f t="shared" si="4"/>
        <v>0</v>
      </c>
      <c r="M18" s="932">
        <f t="shared" si="4"/>
        <v>0</v>
      </c>
      <c r="N18" s="932">
        <f t="shared" si="4"/>
        <v>161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3283</v>
      </c>
      <c r="Z18" s="932">
        <f t="shared" si="5"/>
        <v>191</v>
      </c>
      <c r="AA18" s="932">
        <f t="shared" si="5"/>
        <v>1940</v>
      </c>
      <c r="AB18" s="932">
        <f t="shared" si="5"/>
        <v>0</v>
      </c>
      <c r="AC18" s="932">
        <f t="shared" si="5"/>
        <v>0</v>
      </c>
      <c r="AD18" s="932">
        <f t="shared" si="5"/>
        <v>0</v>
      </c>
      <c r="AE18" s="932">
        <f t="shared" si="5"/>
        <v>415</v>
      </c>
      <c r="AF18" s="932">
        <f t="shared" si="5"/>
        <v>0</v>
      </c>
      <c r="AG18" s="932">
        <f t="shared" si="5"/>
        <v>0</v>
      </c>
      <c r="AH18" s="932">
        <f t="shared" si="5"/>
        <v>0</v>
      </c>
      <c r="AI18" s="932">
        <f t="shared" si="5"/>
        <v>0</v>
      </c>
      <c r="AJ18" s="932">
        <f t="shared" si="5"/>
        <v>563</v>
      </c>
      <c r="AK18" s="932">
        <f t="shared" si="5"/>
        <v>2142</v>
      </c>
      <c r="AL18" s="932">
        <f t="shared" si="5"/>
        <v>0</v>
      </c>
      <c r="AM18" s="932">
        <f t="shared" si="5"/>
        <v>0</v>
      </c>
      <c r="AN18" s="932">
        <f t="shared" si="5"/>
        <v>0</v>
      </c>
      <c r="AO18" s="934">
        <f>IF(ISNUMBER(((NºAsuntos!I18/NºAsuntos!G18)*11)/factor_trimestre),((NºAsuntos!I18/NºAsuntos!G18)*11)/factor_trimestre," - ")</f>
        <v>1.772768809016144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2076</v>
      </c>
      <c r="G19" s="820">
        <f t="shared" si="7"/>
        <v>2046</v>
      </c>
      <c r="H19" s="821">
        <f t="shared" si="7"/>
        <v>0</v>
      </c>
      <c r="I19" s="820">
        <f t="shared" si="7"/>
        <v>0</v>
      </c>
      <c r="J19" s="822">
        <f t="shared" si="7"/>
        <v>0</v>
      </c>
      <c r="K19" s="820">
        <f t="shared" si="7"/>
        <v>0</v>
      </c>
      <c r="L19" s="823">
        <f t="shared" si="7"/>
        <v>0</v>
      </c>
      <c r="M19" s="820">
        <f t="shared" si="7"/>
        <v>0</v>
      </c>
      <c r="N19" s="821">
        <f t="shared" si="7"/>
        <v>1001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3286</v>
      </c>
      <c r="Z19" s="827">
        <f t="shared" si="8"/>
        <v>846</v>
      </c>
      <c r="AA19" s="828">
        <f t="shared" si="8"/>
        <v>1951</v>
      </c>
      <c r="AB19" s="828">
        <f t="shared" si="8"/>
        <v>0</v>
      </c>
      <c r="AC19" s="828">
        <f t="shared" si="8"/>
        <v>0</v>
      </c>
      <c r="AD19" s="829">
        <f t="shared" si="8"/>
        <v>0</v>
      </c>
      <c r="AE19" s="829">
        <f t="shared" si="8"/>
        <v>12431</v>
      </c>
      <c r="AF19" s="830">
        <f t="shared" si="8"/>
        <v>0</v>
      </c>
      <c r="AG19" s="831">
        <f t="shared" si="8"/>
        <v>0</v>
      </c>
      <c r="AH19" s="832">
        <f t="shared" si="8"/>
        <v>0</v>
      </c>
      <c r="AI19" s="830">
        <f t="shared" si="8"/>
        <v>0</v>
      </c>
      <c r="AJ19" s="820">
        <f t="shared" si="8"/>
        <v>2484</v>
      </c>
      <c r="AK19" s="820">
        <f t="shared" si="8"/>
        <v>3669</v>
      </c>
      <c r="AL19" s="820">
        <f t="shared" si="8"/>
        <v>0</v>
      </c>
      <c r="AM19" s="833">
        <f t="shared" si="8"/>
        <v>0</v>
      </c>
      <c r="AN19" s="823">
        <f>IF(ISNUMBER(Datos!K19/Datos!J19),Datos!K19/Datos!J19," - ")</f>
        <v>1.2084832134292567</v>
      </c>
      <c r="AO19" s="823">
        <f>IF(ISNUMBER(FIND("06",Criterios!A8,1)),(IF(ISNUMBER(((Datos!R19/Datos!Q19)*11)/factor_trimestre),((Datos!R19/Datos!Q19)*11)/factor_trimestre," - ")),(IF(ISNUMBER(((Datos!L19/Datos!K19)*11)/factor_trimestre),((Datos!L19/Datos!K19)*11)/factor_trimestre," - ")))</f>
        <v>3.9796601761131094</v>
      </c>
      <c r="AP19" s="834" t="str">
        <f>IF(ISNUMBER(Datos!CI19/Datos!CJ19),Datos!CI19/Datos!CJ19," - ")</f>
        <v xml:space="preserve"> - </v>
      </c>
      <c r="AQ19" s="834">
        <f>IF(OR(ISNUMBER(FIND("01",Criterios!A8,1)),ISNUMBER(FIND("02",Criterios!A8,1)),ISNUMBER(FIND("03",Criterios!A8,1)),ISNUMBER(FIND("04",Criterios!A8,1))),(J19-Y19+K19)/(F19-K19),(I19-Y19+K19)/(F19-K19))</f>
        <v>-1.5828516377649327</v>
      </c>
      <c r="AR19" s="834">
        <f>IF(ISNUMBER((Datos!P19-Datos!Q19+O19)/(Datos!R19-Datos!P19+Datos!Q19-O19)),(Datos!P19-Datos!Q19+O19)/(Datos!R19-Datos!P19+Datos!Q19-O19)," - ")</f>
        <v>1.2626262626262626E-2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682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1120.6465990668066</v>
      </c>
      <c r="G21" s="552">
        <f>IF(ISNUMBER(STDEV(G8:G18)),STDEV(G8:G18),"-")</f>
        <v>1034.9098511464658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812.75721203461842</v>
      </c>
      <c r="AK21" s="252"/>
      <c r="AL21" s="252">
        <f>IF(ISNUMBER(STDEV(AL8:AL18)),STDEV(AL8:AL18),"-")</f>
        <v>0</v>
      </c>
      <c r="AM21" s="254">
        <f>IF(ISNUMBER(STDEV(AM8:AM18)),STDEV(AM8:AM18),"-")</f>
        <v>0</v>
      </c>
      <c r="AN21" s="539">
        <f>IF(ISNUMBER(STDEV(AN8:AN18)),STDEV(AN8:AN18),"-")</f>
        <v>0</v>
      </c>
      <c r="AO21" s="540">
        <f>IF(ISNUMBER(STDEV(AO8:AO18)),STDEV(AO8:AO18),"-")</f>
        <v>19.891513433971056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5l0uzTY/mHFXoTyU911AJ28Up1+xuSqAvk/L3CulkchZPGdk/J09kkLDCE5qIiIVGoayOwJvG05FS5vz66Ytg==" saltValue="bVap0LlQW3MR3uPDw/zUV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ogSGnJD5Y361hEn/Bj+nkMTssca9y8+KuEPcPj6XQhBt0Q5NeO5qmxUoGA++3YsKidZAvE79R5GuU8GpzXkCQ==" saltValue="VZZkBmd0Q8p+QB3qv5b0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RFCXkiefphgQchdq0p0gXzfPL9WaLsQdZxtFtskOnpgVU2c42w24/XF8ZQko40HVUJWkyz1h/5Qjvb4z6pSQg==" saltValue="tcyhI9e14RUxhTixJGeJ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CRISTOBAL DE LA LAGUNA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0.38855177993527507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0.2747475984343361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C+lrxSXdStYQozO2gHQlAHyT5F2uEDzER1CSDMc6WlrX1De3YcqVl/a53omjfl5HFKLacbUM/azmnMpnmsW2cw==" saltValue="c7rGAf+fluFRIzPtgpot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cfffre0Li4vdYiCsGsKcUhf/DBBldi+tPxUZZ7y3noShahaLmGDdnQHGzAgKtG+Mm8UvoGYv+Gn7mU1dwAbAig==" saltValue="c+KJZz9R/D1tyNvPfrME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 CRISTOBAL DE LA LAGUNA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9848</v>
      </c>
      <c r="D9" s="404">
        <f>IF(ISNUMBER(C9/Datos!BH9),C9/Datos!BH9," - ")</f>
        <v>1406.8571428571429</v>
      </c>
      <c r="E9" s="403">
        <f>IF(ISNUMBER(IF(J_V="SI",Datos!J9,Datos!J9+Datos!Z9)),IF(J_V="SI",Datos!J9,Datos!J9+Datos!Z9)," - ")</f>
        <v>3342</v>
      </c>
      <c r="F9" s="404">
        <f>IF(ISNUMBER(E9/B9),E9/B9," - ")</f>
        <v>477.42857142857144</v>
      </c>
      <c r="G9" s="403">
        <f>IF(ISNUMBER(IF(J_V="SI",Datos!K9,Datos!K9+Datos!AA9)),IF(J_V="SI",Datos!K9,Datos!K9+Datos!AA9)," - ")</f>
        <v>4711</v>
      </c>
      <c r="H9" s="404">
        <f>IF(ISNUMBER(G9/B9),G9/B9," - ")</f>
        <v>673</v>
      </c>
      <c r="I9" s="403">
        <f>IF(ISNUMBER(IF(J_V="SI",Datos!L9,Datos!L9+Datos!AB9)),IF(J_V="SI",Datos!L9,Datos!L9+Datos!AB9)," - ")</f>
        <v>8553</v>
      </c>
      <c r="J9" s="404">
        <f>IF(ISNUMBER(I9/B9),I9/B9," - ")</f>
        <v>1221.8571428571429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1</v>
      </c>
      <c r="F10" s="404">
        <f>IF(ISNUMBER(E10/B10),E10/B10," - ")</f>
        <v>1</v>
      </c>
      <c r="G10" s="403">
        <f>IF(ISNUMBER(Datos!K10),Datos!K10," - ")</f>
        <v>3</v>
      </c>
      <c r="H10" s="404">
        <f>IF(ISNUMBER(G10/B10),G10/B10," - ")</f>
        <v>3</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229</v>
      </c>
      <c r="D11" s="404" t="str">
        <f>IF(ISNUMBER(C11/Datos!BH11),C11/Datos!BH11," - ")</f>
        <v xml:space="preserve"> - </v>
      </c>
      <c r="E11" s="403">
        <f>IF(ISNUMBER(IF(J_V="SI",Datos!J11,Datos!J11+Datos!Z11)),IF(J_V="SI",Datos!J11,Datos!J11+Datos!Z11)," - ")</f>
        <v>361</v>
      </c>
      <c r="F11" s="404">
        <f>IF(ISNUMBER(E11/B11),E11/B11," - ")</f>
        <v>361</v>
      </c>
      <c r="G11" s="403">
        <f>IF(ISNUMBER(IF(J_V="SI",Datos!K11,Datos!K11+Datos!AA11)),IF(J_V="SI",Datos!K11,Datos!K11+Datos!AA11)," - ")</f>
        <v>230</v>
      </c>
      <c r="H11" s="404">
        <f>IF(ISNUMBER(G11/B11),G11/B11," - ")</f>
        <v>230</v>
      </c>
      <c r="I11" s="403">
        <f>IF(ISNUMBER(IF(J_V="SI",Datos!L11,Datos!L11+Datos!AB11)),IF(J_V="SI",Datos!L11,Datos!L11+Datos!AB11)," - ")</f>
        <v>360</v>
      </c>
      <c r="J11" s="404">
        <f>IF(ISNUMBER(I11/B11),I11/B11," - ")</f>
        <v>360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10090</v>
      </c>
      <c r="D13" s="850" t="str">
        <f>IF(ISNUMBER(C13/Datos!BI13),C13/Datos!BI13," - ")</f>
        <v xml:space="preserve"> - </v>
      </c>
      <c r="E13" s="849">
        <f>SUBTOTAL(9,E8:E12)</f>
        <v>3704</v>
      </c>
      <c r="F13" s="850">
        <f>IF(ISNUMBER(E13/B13),E13/B13," - ")</f>
        <v>463</v>
      </c>
      <c r="G13" s="849">
        <f>SUBTOTAL(9,G8:G12)</f>
        <v>4944</v>
      </c>
      <c r="H13" s="850">
        <f>IF(ISNUMBER(G13/B13),G13/B13," - ")</f>
        <v>618</v>
      </c>
      <c r="I13" s="849">
        <f>SUBTOTAL(9,I8:I12)</f>
        <v>8924</v>
      </c>
      <c r="J13" s="850">
        <f>IF(ISNUMBER(I13/B13),I13/B13," - ")</f>
        <v>1115.5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2003</v>
      </c>
      <c r="D15" s="404">
        <f>IF(ISNUMBER(C15/Datos!BH15),C15/Datos!BH15," - ")</f>
        <v>500.75</v>
      </c>
      <c r="E15" s="403">
        <f>IF(ISNUMBER(IF(D_I="SI",Datos!J15,Datos!J15+Datos!AD15)),IF(D_I="SI",Datos!J15,Datos!J15+Datos!AD15)," - ")</f>
        <v>3140</v>
      </c>
      <c r="F15" s="404">
        <f>IF(ISNUMBER(E15/B15),E15/B15," - ")</f>
        <v>785</v>
      </c>
      <c r="G15" s="403">
        <f>IF(ISNUMBER(IF(D_I="SI",Datos!K15,Datos!K15+Datos!AE15)),IF(D_I="SI",Datos!K15,Datos!K15+Datos!AE15)," - ")</f>
        <v>3282</v>
      </c>
      <c r="H15" s="404">
        <f>IF(ISNUMBER(G15/B15),G15/B15," - ")</f>
        <v>820.5</v>
      </c>
      <c r="I15" s="403">
        <f>IF(ISNUMBER(IF(D_I="SI",Datos!L15,Datos!L15+Datos!AF15)),IF(D_I="SI",Datos!L15,Datos!L15+Datos!AF15)," - ")</f>
        <v>1911</v>
      </c>
      <c r="J15" s="404">
        <f>IF(ISNUMBER(I15/B15),I15/B15," - ")</f>
        <v>477.75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10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v>
      </c>
      <c r="D17" s="404">
        <f>IF(ISNUMBER(C17/Datos!BH17),C17/Datos!BH17," - ")</f>
        <v>20</v>
      </c>
      <c r="E17" s="403">
        <f>IF(ISNUMBER(IF(D_I="SI",Datos!J17,Datos!J17+Datos!AD17)),IF(D_I="SI",Datos!J17,Datos!J17+Datos!AD17)," - ")</f>
        <v>0</v>
      </c>
      <c r="F17" s="404">
        <f>IF(ISNUMBER(E17/B17),E17/B17," - ")</f>
        <v>0</v>
      </c>
      <c r="G17" s="403">
        <f>IF(ISNUMBER(IF(D_I="SI",Datos!K17,Datos!K17+Datos!AE17)),IF(D_I="SI",Datos!K17,Datos!K17+Datos!AE17)," - ")</f>
        <v>1</v>
      </c>
      <c r="H17" s="404">
        <f>IF(ISNUMBER(G17/B17),G17/B17," - ")</f>
        <v>1</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2033</v>
      </c>
      <c r="D18" s="850" t="str">
        <f>IF(ISNUMBER(C18/Datos!BI18),C18/Datos!BI18," - ")</f>
        <v xml:space="preserve"> - </v>
      </c>
      <c r="E18" s="849">
        <f>SUBTOTAL(9,E14:E17)</f>
        <v>3140</v>
      </c>
      <c r="F18" s="850">
        <f>IF(ISNUMBER(E18/B18),E18/B18," - ")</f>
        <v>785</v>
      </c>
      <c r="G18" s="849">
        <f>SUBTOTAL(9,G14:G17)</f>
        <v>3283</v>
      </c>
      <c r="H18" s="850">
        <f>IF(ISNUMBER(G18/B18),G18/B18," - ")</f>
        <v>820.75</v>
      </c>
      <c r="I18" s="849">
        <f>SUBTOTAL(9,I14:I17)</f>
        <v>1940</v>
      </c>
      <c r="J18" s="850">
        <f>IF(ISNUMBER(I18/B18),I18/B18," - ")</f>
        <v>485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12123</v>
      </c>
      <c r="D19" s="795" t="str">
        <f>IF(ISNUMBER(C19/Datos!BI19),C19/Datos!BI19," - ")</f>
        <v xml:space="preserve"> - </v>
      </c>
      <c r="E19" s="794">
        <f>SUBTOTAL(9,E9:E18)</f>
        <v>6844</v>
      </c>
      <c r="F19" s="795">
        <f>IF(ISNUMBER(E19/B19),E19/B19," - ")</f>
        <v>570.33333333333337</v>
      </c>
      <c r="G19" s="794">
        <f>SUBTOTAL(9,G9:G18)</f>
        <v>8227</v>
      </c>
      <c r="H19" s="795">
        <f>IF(ISNUMBER(G19/B19),G19/B19," - ")</f>
        <v>685.58333333333337</v>
      </c>
      <c r="I19" s="794">
        <f>SUBTOTAL(9,I9:I18)</f>
        <v>10864</v>
      </c>
      <c r="J19" s="795">
        <f>IF(ISNUMBER(I19/B19),I19/B19," - ")</f>
        <v>905.33333333333337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o5kLoLFHM2oI7tl78IRhwMeyYcKrZegQjOZyu8VnjOsCMl1lOUrKa6eoxgdnHbYD5/X70NWRGdpZvE0/pvfhlw==" saltValue="nkBuVRrcHoGmr0Z2NAAW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 CRISTOBAL DE LA LAGUNA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0</v>
      </c>
      <c r="AE13" s="939">
        <f t="shared" si="1"/>
        <v>0</v>
      </c>
      <c r="AF13" s="939">
        <f t="shared" si="1"/>
        <v>11</v>
      </c>
      <c r="AG13" s="939">
        <f t="shared" si="1"/>
        <v>0</v>
      </c>
      <c r="AH13" s="939">
        <f t="shared" si="1"/>
        <v>0</v>
      </c>
      <c r="AI13" s="939">
        <f t="shared" si="1"/>
        <v>0</v>
      </c>
      <c r="AJ13" s="939">
        <f t="shared" si="1"/>
        <v>0</v>
      </c>
      <c r="AK13" s="939">
        <f t="shared" si="1"/>
        <v>0</v>
      </c>
      <c r="AL13" s="939">
        <f t="shared" si="1"/>
        <v>1</v>
      </c>
      <c r="AM13" s="939">
        <f t="shared" si="1"/>
        <v>0</v>
      </c>
      <c r="AN13" s="939">
        <f t="shared" si="1"/>
        <v>0</v>
      </c>
      <c r="AO13" s="939">
        <f t="shared" si="1"/>
        <v>0</v>
      </c>
      <c r="AP13" s="944">
        <f>IF(ISNUMBER(((Datos!L13/Datos!K13)*11)/factor_trimestre),((Datos!L13/Datos!K13)*11)/factor_trimestre," - ")</f>
        <v>5.4953974895397488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-0.23076923076923078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1.772768809016144</v>
      </c>
      <c r="AQ18" s="944">
        <f>IF(ISNUMBER(((Datos!M18/Datos!L18)*11)/factor_trimestre),((Datos!M18/Datos!L18)*11)/factor_trimestre," - ")</f>
        <v>0.87061855670103105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-6.741573033707865E-2</v>
      </c>
      <c r="AW18" s="946">
        <f>IF(ISNUMBER((Datos!Q18-Datos!R18)/(Datos!S18-Datos!Q18+Datos!R18)),(Datos!Q18-Datos!R18)/(Datos!S18-Datos!Q18+Datos!R18)," - ")</f>
        <v>-8.5692425401683245E-2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0</v>
      </c>
      <c r="AE19" s="957">
        <f t="shared" si="5"/>
        <v>0</v>
      </c>
      <c r="AF19" s="958">
        <f t="shared" si="5"/>
        <v>11</v>
      </c>
      <c r="AG19" s="958">
        <f t="shared" si="5"/>
        <v>0</v>
      </c>
      <c r="AH19" s="958">
        <f t="shared" si="5"/>
        <v>0</v>
      </c>
      <c r="AI19" s="958">
        <f t="shared" si="5"/>
        <v>0</v>
      </c>
      <c r="AJ19" s="959">
        <f t="shared" si="5"/>
        <v>0</v>
      </c>
      <c r="AK19" s="959">
        <f t="shared" si="5"/>
        <v>0</v>
      </c>
      <c r="AL19" s="951">
        <f t="shared" si="5"/>
        <v>1</v>
      </c>
      <c r="AM19" s="951">
        <f t="shared" si="5"/>
        <v>0</v>
      </c>
      <c r="AN19" s="951">
        <f t="shared" si="5"/>
        <v>0</v>
      </c>
      <c r="AO19" s="951">
        <f t="shared" si="5"/>
        <v>0</v>
      </c>
      <c r="AP19" s="951">
        <f>IF(ISNUMBER(((Datos!L19/Datos!K19)*11)/factor_trimestre),((Datos!L19/Datos!K19)*11)/factor_trimestre," - ")</f>
        <v>3.9796601761131094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-0.23076923076923078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1.2626262626262626E-2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0.57735026918962584</v>
      </c>
      <c r="AM21" s="736"/>
      <c r="AN21" s="736">
        <f>IF(ISNUMBER(STDEV(AN8:AN18)),STDEV(AN8:AN18),"-")</f>
        <v>0</v>
      </c>
      <c r="AO21" s="742">
        <f>IF(ISNUMBER(STDEV(AO8:AO18)),STDEV(AO8:AO18),"-")</f>
        <v>0</v>
      </c>
      <c r="AP21" s="779">
        <f>IF(ISNUMBER(STDEV(AP8:AP18)),STDEV(AP8:AP18),"-")</f>
        <v>4.6422050892344906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letFQvsZOysxy2Ce4zBKYCaCRTytT8j6sTdvFNAwkKsj1T8y8u+eEu9KbjQQxobTOSi71x90MRVu6ClKFhU5Nw==" saltValue="KsxB0s+fdCjGoHdIPUz/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 CRISTOBAL DE LA LAGUNA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0u1KNS8KOptfWnP4U3uqkk6wSyxgADqx8g4kYeemUYtiZ07gHg4qwwXv9DVywjFb3cWGjXOhuRbVATyXAiC1Wg==" saltValue="UydscpSNOVTBfDMU2Gik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 CRISTOBAL DE LA LAGUNA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1838</v>
      </c>
      <c r="E9" s="404">
        <f t="shared" ref="E9:E13" si="0">IF(ISNUMBER(D9/B9),D9/B9," - ")</f>
        <v>262.57142857142856</v>
      </c>
      <c r="F9" s="403">
        <f>IF(ISNUMBER(Datos!N9),Datos!N9," - ")</f>
        <v>1463</v>
      </c>
      <c r="G9" s="404">
        <f t="shared" ref="G9:G13" si="1">IF(ISNUMBER(F9/B9),F9/B9," - ")</f>
        <v>209</v>
      </c>
      <c r="H9" s="403">
        <f>IF(ISNUMBER(Datos!O9),Datos!O9," - ")</f>
        <v>1493</v>
      </c>
      <c r="I9" s="404">
        <f>IF(ISNUMBER(H9/B9),H9/B9," - ")</f>
        <v>213.28571428571428</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1</v>
      </c>
      <c r="C11" s="410">
        <f>Datos!AQ11</f>
        <v>1</v>
      </c>
      <c r="D11" s="403">
        <f>IF(ISNUMBER(Datos!M11),Datos!M11," - ")</f>
        <v>82</v>
      </c>
      <c r="E11" s="404">
        <f t="shared" si="0"/>
        <v>82</v>
      </c>
      <c r="F11" s="403">
        <f>IF(ISNUMBER(Datos!N11),Datos!N11," - ")</f>
        <v>64</v>
      </c>
      <c r="G11" s="404">
        <f t="shared" si="1"/>
        <v>64</v>
      </c>
      <c r="H11" s="403">
        <f>IF(ISNUMBER(Datos!O11),Datos!O11," - ")</f>
        <v>78</v>
      </c>
      <c r="I11" s="404">
        <f t="shared" si="2"/>
        <v>78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1921</v>
      </c>
      <c r="E13" s="850">
        <f t="shared" si="0"/>
        <v>240.125</v>
      </c>
      <c r="F13" s="849">
        <f>SUBTOTAL(9,F9:F12)</f>
        <v>1527</v>
      </c>
      <c r="G13" s="850">
        <f t="shared" si="1"/>
        <v>190.875</v>
      </c>
      <c r="H13" s="849">
        <f>SUBTOTAL(9,H9:H12)</f>
        <v>1572</v>
      </c>
      <c r="I13" s="850">
        <f>IF(ISNUMBER(H13/B13),H13/B13," - ")</f>
        <v>196.5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563</v>
      </c>
      <c r="E15" s="404">
        <f t="shared" ref="E15:E18" si="3">IF(ISNUMBER(D15/B15),D15/B15," - ")</f>
        <v>140.75</v>
      </c>
      <c r="F15" s="403">
        <f>IF(ISNUMBER(Datos!N15),Datos!N15," - ")</f>
        <v>2142</v>
      </c>
      <c r="G15" s="404">
        <f t="shared" ref="G15:G18" si="4">IF(ISNUMBER(F15/B15),F15/B15," - ")</f>
        <v>535.5</v>
      </c>
      <c r="H15" s="403">
        <f>IF(ISNUMBER(Datos!O15),Datos!O15," - ")</f>
        <v>38</v>
      </c>
      <c r="I15" s="404">
        <f t="shared" ref="I15:I17" si="5">IF(ISNUMBER(H15/B15),H15/B15," - ")</f>
        <v>9.5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563</v>
      </c>
      <c r="E18" s="850">
        <f t="shared" si="3"/>
        <v>140.75</v>
      </c>
      <c r="F18" s="849">
        <f>SUBTOTAL(9,F15:F17)</f>
        <v>2142</v>
      </c>
      <c r="G18" s="850">
        <f t="shared" si="4"/>
        <v>535.5</v>
      </c>
      <c r="H18" s="849">
        <f>SUBTOTAL(9,H15:H17)</f>
        <v>38</v>
      </c>
      <c r="I18" s="850">
        <f>IF(ISNUMBER(H18/B18),H18/B18," - ")</f>
        <v>9.5</v>
      </c>
      <c r="BZ18" s="1186"/>
    </row>
    <row r="19" spans="1:78" ht="14.25" thickTop="1" thickBot="1">
      <c r="A19" s="793" t="str">
        <f>Datos!A19</f>
        <v>TOTAL JURISDICCIONES</v>
      </c>
      <c r="B19" s="794">
        <f>Datos!AP19</f>
        <v>12</v>
      </c>
      <c r="C19" s="794">
        <f>Datos!AR19</f>
        <v>12</v>
      </c>
      <c r="D19" s="794">
        <f>SUBTOTAL(9,D8:D18)</f>
        <v>2484</v>
      </c>
      <c r="E19" s="795">
        <f>IF(ISNUMBER(D19/B19),D19/B19," - ")</f>
        <v>207</v>
      </c>
      <c r="F19" s="794">
        <f>SUBTOTAL(9,F8:F18)</f>
        <v>3669</v>
      </c>
      <c r="G19" s="795">
        <f>IF(ISNUMBER(F19/B19),F19/B19," - ")</f>
        <v>305.75</v>
      </c>
      <c r="H19" s="794">
        <f>SUBTOTAL(9,H8:H18)</f>
        <v>1610</v>
      </c>
      <c r="I19" s="795">
        <f>IF(ISNUMBER(H19/B19),H19/B19," - ")</f>
        <v>134.16666666666666</v>
      </c>
    </row>
    <row r="22" spans="1:78">
      <c r="A22" s="391" t="str">
        <f>Criterios!A4</f>
        <v>Fecha Informe: 27 feb. 2025</v>
      </c>
    </row>
    <row r="27" spans="1:78">
      <c r="A27" s="414"/>
    </row>
  </sheetData>
  <sheetProtection algorithmName="SHA-512" hashValue="QMP7J/+zC/bpoNuhSGMvveC/G8Ezf+NwidFqllzOVU0Cm7yO0W1yXBq/uHruBVfz2U/NAHRqcElkwppoZ+8Img==" saltValue="Ejni/QWcI8OLdDgHl8Ng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 CRISTOBAL DE LA LAGUNA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840</v>
      </c>
      <c r="C9" s="434">
        <f>IF(ISNUMBER(Datos!Q9),Datos!Q9," - ")</f>
        <v>654</v>
      </c>
      <c r="D9" s="408">
        <f>IF(ISNUMBER(Datos!R9),Datos!R9," - ")</f>
        <v>11951</v>
      </c>
    </row>
    <row r="10" spans="1:4">
      <c r="A10" s="402" t="str">
        <f>Datos!A10</f>
        <v>Jdos. Violencia contra la mujer</v>
      </c>
      <c r="B10" s="433">
        <f>IF(ISNUMBER(Datos!P10),Datos!P10," - ")</f>
        <v>0</v>
      </c>
      <c r="C10" s="434">
        <f>IF(ISNUMBER(Datos!Q10),Datos!Q10," - ")</f>
        <v>1</v>
      </c>
      <c r="D10" s="408">
        <f>IF(ISNUMBER(Datos!R10),Datos!R10," - ")</f>
        <v>65</v>
      </c>
    </row>
    <row r="11" spans="1:4">
      <c r="A11" s="402" t="str">
        <f>Datos!A11</f>
        <v xml:space="preserve">Jdos. Familia                                   </v>
      </c>
      <c r="B11" s="433">
        <f>IF(ISNUMBER(Datos!P11),Datos!P11," - ")</f>
        <v>0</v>
      </c>
      <c r="C11" s="434">
        <f>IF(ISNUMBER(Datos!Q11),Datos!Q11," - ")</f>
        <v>0</v>
      </c>
      <c r="D11" s="408">
        <f>IF(ISNUMBER(Datos!R11),Datos!R11," - ")</f>
        <v>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840</v>
      </c>
      <c r="C13" s="853">
        <f>SUBTOTAL(9,C9:C12)</f>
        <v>655</v>
      </c>
      <c r="D13" s="851">
        <f>SUBTOTAL(9,D9:D12)</f>
        <v>12016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161</v>
      </c>
      <c r="C15" s="434">
        <f>IF(ISNUMBER(Datos!Q15),Datos!Q15," - ")</f>
        <v>191</v>
      </c>
      <c r="D15" s="408">
        <f>IF(ISNUMBER(Datos!R15),Datos!R15," - ")</f>
        <v>414</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161</v>
      </c>
      <c r="C18" s="853">
        <f>SUBTOTAL(9,C15:C17)</f>
        <v>191</v>
      </c>
      <c r="D18" s="851">
        <f>SUBTOTAL(9,D15:D17)</f>
        <v>415</v>
      </c>
    </row>
    <row r="19" spans="1:4" ht="16.5" customHeight="1" thickTop="1" thickBot="1">
      <c r="A19" s="793" t="str">
        <f>Datos!A19</f>
        <v>TOTAL JURISDICCIONES</v>
      </c>
      <c r="B19" s="798">
        <f>SUBTOTAL(9,B8:B18)</f>
        <v>1001</v>
      </c>
      <c r="C19" s="799">
        <f>SUBTOTAL(9,C8:C18)</f>
        <v>846</v>
      </c>
      <c r="D19" s="800">
        <f>SUBTOTAL(9,D8:D18)</f>
        <v>12431</v>
      </c>
    </row>
    <row r="20" spans="1:4" ht="7.5" customHeight="1"/>
    <row r="21" spans="1:4" ht="6" customHeight="1"/>
    <row r="22" spans="1:4">
      <c r="A22" s="391" t="str">
        <f>Criterios!A4</f>
        <v>Fecha Informe: 27 feb. 2025</v>
      </c>
    </row>
    <row r="27" spans="1:4">
      <c r="A27" s="414"/>
    </row>
  </sheetData>
  <sheetProtection algorithmName="SHA-512" hashValue="ScoTR0pfHMkN99T1YkVMBlDBgOgNEcdIKyjqBw+zg/zqA0L8NqzzXSgT5Gd1GloeqIzWPw4iflFY0mgowRC6ZA==" saltValue="W2qduELJxBtp5dgouTUR8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 CRISTOBAL DE LA LAGUNA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-7.6519129782445613E-2</v>
      </c>
      <c r="C9" s="456">
        <f>IF(ISNUMBER(
   IF(J_V="SI",(Datos!J9-Datos!T9)/Datos!T9,(Datos!J9+Datos!Z9-(Datos!T9+Datos!AH9))/(Datos!T9+Datos!AH9))
     ),IF(J_V="SI",(Datos!J9-Datos!T9)/Datos!T9,(Datos!J9+Datos!Z9-(Datos!T9+Datos!AH9))/(Datos!T9+Datos!AH9))," - ")</f>
        <v>-0.24814398200224971</v>
      </c>
      <c r="D9" s="456">
        <f>IF(ISNUMBER(
   IF(J_V="SI",(Datos!K9-Datos!U9)/Datos!U9,(Datos!K9+Datos!AA9-(Datos!U9+Datos!AI9))/(Datos!U9+Datos!AI9))
     ),IF(J_V="SI",(Datos!K9-Datos!U9)/Datos!U9,(Datos!K9+Datos!AA9-(Datos!U9+Datos!AI9))/(Datos!U9+Datos!AI9))," - ")</f>
        <v>0.13600192910537739</v>
      </c>
      <c r="E9" s="456">
        <f>IF(ISNUMBER(
   IF(J_V="SI",(Datos!L9-Datos!V9)/Datos!V9,(Datos!L9+Datos!AB9-(Datos!V9+Datos!AJ9))/(Datos!V9+Datos!AJ9))
     ),IF(J_V="SI",(Datos!L9-Datos!V9)/Datos!V9,(Datos!L9+Datos!AB9-(Datos!V9+Datos!AJ9))/(Datos!V9+Datos!AJ9))," - ")</f>
        <v>-0.21618401759530792</v>
      </c>
      <c r="F9" s="456">
        <f>IF(ISNUMBER((Datos!M9-Datos!W9)/Datos!W9),(Datos!M9-Datos!W9)/Datos!W9," - ")</f>
        <v>0.12141549725442342</v>
      </c>
      <c r="G9" s="457">
        <f>IF(ISNUMBER((Datos!N9-Datos!X9)/Datos!X9),(Datos!N9-Datos!X9)/Datos!X9," - ")</f>
        <v>0.1016566265060241</v>
      </c>
      <c r="H9" s="455">
        <f>IF(ISNUMBER(((NºAsuntos!G9/NºAsuntos!E9)-Datos!BD9)/Datos!BD9),((NºAsuntos!G9/NºAsuntos!E9)-Datos!BD9)/Datos!BD9," - ")</f>
        <v>0.51093015406146103</v>
      </c>
      <c r="I9" s="456">
        <f>IF(ISNUMBER(((NºAsuntos!I9/NºAsuntos!G9)-Datos!BE9)/Datos!BE9),((NºAsuntos!I9/NºAsuntos!G9)-Datos!BE9)/Datos!BE9," - ")</f>
        <v>-0.31002231393923629</v>
      </c>
      <c r="J9" s="461">
        <f>IF(ISNUMBER((('Resol  Asuntos'!D9/NºAsuntos!G9)-Datos!BF9)/Datos!BF9),(('Resol  Asuntos'!D9/NºAsuntos!G9)-Datos!BF9)/Datos!BF9," - ")</f>
        <v>0.21833960763452867</v>
      </c>
      <c r="K9" s="462">
        <f>IF(ISNUMBER((((NºAsuntos!C9+NºAsuntos!E9)/NºAsuntos!G9)-Datos!BG9)/Datos!BG9),(((NºAsuntos!C9+NºAsuntos!E9)/NºAsuntos!G9)-Datos!BG9)/Datos!BG9," - ")</f>
        <v>-0.23152453664413467</v>
      </c>
    </row>
    <row r="10" spans="1:11">
      <c r="A10" s="402" t="str">
        <f>Datos!A10</f>
        <v>Jdos. Violencia contra la mujer</v>
      </c>
      <c r="B10" s="455">
        <f>IF(ISNUMBER((Datos!I10-Datos!S10)/Datos!S10),(Datos!I10-Datos!S10)/Datos!S10," - ")</f>
        <v>-0.13333333333333333</v>
      </c>
      <c r="C10" s="456">
        <f>IF(ISNUMBER((Datos!J10-Datos!T10)/Datos!T10),(Datos!J10-Datos!T10)/Datos!T10," - ")</f>
        <v>-0.88888888888888884</v>
      </c>
      <c r="D10" s="456">
        <f>IF(ISNUMBER((Datos!K10-Datos!U10)/Datos!U10),(Datos!K10-Datos!U10)/Datos!U10," - ")</f>
        <v>-0.7</v>
      </c>
      <c r="E10" s="456">
        <f>IF(ISNUMBER((Datos!L10-Datos!V10)/Datos!V10),(Datos!L10-Datos!V10)/Datos!V10," - ")</f>
        <v>-0.21428571428571427</v>
      </c>
      <c r="F10" s="456">
        <f>IF(ISNUMBER((Datos!M10-Datos!W10)/Datos!W10),(Datos!M10-Datos!W10)/Datos!W10," - ")</f>
        <v>-0.66666666666666663</v>
      </c>
      <c r="G10" s="457">
        <f>IF(ISNUMBER((Datos!N10-Datos!X10)/Datos!X10),(Datos!N10-Datos!X10)/Datos!X10," - ")</f>
        <v>-1</v>
      </c>
      <c r="H10" s="455">
        <f>IF(ISNUMBER(((NºAsuntos!G10/NºAsuntos!E10)-Datos!BD10)/Datos!BD10),((NºAsuntos!G10/NºAsuntos!E10)-Datos!BD10)/Datos!BD10," - ")</f>
        <v>1.7</v>
      </c>
      <c r="I10" s="456">
        <f>IF(ISNUMBER(((NºAsuntos!I10/NºAsuntos!G10)-Datos!BE10)/Datos!BE10),((NºAsuntos!I10/NºAsuntos!G10)-Datos!BE10)/Datos!BE10," - ")</f>
        <v>1.6190476190476191</v>
      </c>
      <c r="J10" s="461">
        <f>IF(ISNUMBER((('Resol  Asuntos'!D10/NºAsuntos!G10)-Datos!BF10)/Datos!BF10),(('Resol  Asuntos'!D10/NºAsuntos!G10)-Datos!BF10)/Datos!BF10," - ")</f>
        <v>0.11111111111111109</v>
      </c>
      <c r="K10" s="462">
        <f>IF(ISNUMBER((((NºAsuntos!C10+NºAsuntos!E10)/NºAsuntos!G10)-Datos!BG10)/Datos!BG10),(((NºAsuntos!C10+NºAsuntos!E10)/NºAsuntos!G10)-Datos!BG10)/Datos!BG10," - ")</f>
        <v>0.94444444444444464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-5.5154977057776944E-2</v>
      </c>
      <c r="C13" s="855">
        <f>IF(ISNUMBER(
   IF(J_V="SI",(Datos!J13-Datos!T13)/Datos!T13,(Datos!J13+Datos!Z13-(Datos!T13+Datos!AH13))/(Datos!T13+Datos!AH13))
     ),IF(J_V="SI",(Datos!J13-Datos!T13)/Datos!T13,(Datos!J13+Datos!Z13-(Datos!T13+Datos!AH13))/(Datos!T13+Datos!AH13))," - ")</f>
        <v>-0.16838796587337224</v>
      </c>
      <c r="D13" s="855">
        <f>IF(ISNUMBER(
   IF(J_V="SI",(Datos!K13-Datos!U13)/Datos!U13,(Datos!K13+Datos!AA13-(Datos!U13+Datos!AI13))/(Datos!U13+Datos!AI13))
     ),IF(J_V="SI",(Datos!K13-Datos!U13)/Datos!U13,(Datos!K13+Datos!AA13-(Datos!U13+Datos!AI13))/(Datos!U13+Datos!AI13))," - ")</f>
        <v>0.18931922059177292</v>
      </c>
      <c r="E13" s="855">
        <f>IF(ISNUMBER(
   IF(J_V="SI",(Datos!L13-Datos!V13)/Datos!V13,(Datos!L13+Datos!AB13-(Datos!V13+Datos!AJ13))/(Datos!V13+Datos!AJ13))
     ),IF(J_V="SI",(Datos!L13-Datos!V13)/Datos!V13,(Datos!L13+Datos!AB13-(Datos!V13+Datos!AJ13))/(Datos!V13+Datos!AJ13))," - ")</f>
        <v>-0.1832326560497895</v>
      </c>
      <c r="F13" s="856">
        <f>IF(ISNUMBER((Datos!M13-Datos!W13)/Datos!W13),(Datos!M13-Datos!W13)/Datos!W13," - ")</f>
        <v>0.16991473812423874</v>
      </c>
      <c r="G13" s="857">
        <f>IF(ISNUMBER((Datos!N13-Datos!X13)/Datos!X13),(Datos!N13-Datos!X13)/Datos!X13," - ")</f>
        <v>0.14210919970082272</v>
      </c>
      <c r="H13" s="857">
        <f>IF(ISNUMBER(((NºAsuntos!G13/NºAsuntos!E13)-Datos!BD13)/Datos!BD13),((NºAsuntos!G13/NºAsuntos!E13)-Datos!BD13)/Datos!BD13," - ")</f>
        <v>0.43013709733146782</v>
      </c>
      <c r="I13" s="857">
        <f>IF(ISNUMBER(((NºAsuntos!I13/NºAsuntos!G13)-Datos!BE13)/Datos!BE13),((NºAsuntos!I13/NºAsuntos!G13)-Datos!BE13)/Datos!BE13," - ")</f>
        <v>-0.31324800792859531</v>
      </c>
      <c r="J13" s="857">
        <f>IF(ISNUMBER((('Resol  Asuntos'!D13/NºAsuntos!G13)-Datos!BF13)/Datos!BF13),(('Resol  Asuntos'!D13/NºAsuntos!G13)-Datos!BF13)/Datos!BF13," - ")</f>
        <v>0.21353099112767734</v>
      </c>
      <c r="K13" s="857">
        <f>IF(ISNUMBER((((NºAsuntos!C13+NºAsuntos!E13)/NºAsuntos!G13)-Datos!BG13)/Datos!BG13),(((NºAsuntos!C13+NºAsuntos!E13)/NºAsuntos!G13)-Datos!BG13)/Datos!BG13," - ")</f>
        <v>-0.23358013638297073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-0.14328485885372114</v>
      </c>
      <c r="C15" s="456">
        <f>IF(ISNUMBER(
   IF(D_I="SI",(Datos!J15-Datos!T15)/Datos!T15,(Datos!J15+Datos!AD15-(Datos!T15+Datos!AL15))/(Datos!T15+Datos!AL15))
     ),IF(D_I="SI",(Datos!J15-Datos!T15)/Datos!T15,(Datos!J15+Datos!AD15-(Datos!T15+Datos!AL15))/(Datos!T15+Datos!AL15))," - ")</f>
        <v>7.7021822849807449E-3</v>
      </c>
      <c r="D15" s="456">
        <f>IF(ISNUMBER(
   IF(D_I="SI",(Datos!K15-Datos!U15)/Datos!U15,(Datos!K15+Datos!AE15-(Datos!U15+Datos!AM15))/(Datos!U15+Datos!AM15))
     ),IF(D_I="SI",(Datos!K15-Datos!U15)/Datos!U15,(Datos!K15+Datos!AE15-(Datos!U15+Datos!AM15))/(Datos!U15+Datos!AM15))," - ")</f>
        <v>2.78734732226746E-2</v>
      </c>
      <c r="E15" s="456">
        <f>IF(ISNUMBER(
   IF(D_I="SI",(Datos!L15-Datos!V15)/Datos!V15,(Datos!L15+Datos!AF15-(Datos!V15+Datos!AN15))/(Datos!V15+Datos!AN15))
     ),IF(D_I="SI",(Datos!L15-Datos!V15)/Datos!V15,(Datos!L15+Datos!AF15-(Datos!V15+Datos!AN15))/(Datos!V15+Datos!AN15))," - ")</f>
        <v>-0.17806451612903226</v>
      </c>
      <c r="F15" s="456">
        <f>IF(ISNUMBER((Datos!M15-Datos!W15)/Datos!W15),(Datos!M15-Datos!W15)/Datos!W15," - ")</f>
        <v>0.20042643923240938</v>
      </c>
      <c r="G15" s="457">
        <f>IF(ISNUMBER((Datos!N15-Datos!X15)/Datos!X15),(Datos!N15-Datos!X15)/Datos!X15," - ")</f>
        <v>6.1061531235321745E-3</v>
      </c>
      <c r="H15" s="455">
        <f>IF(ISNUMBER(((NºAsuntos!G15/NºAsuntos!E15)-Datos!BD15)/Datos!BD15),((NºAsuntos!G15/NºAsuntos!E15)-Datos!BD15)/Datos!BD15," - ")</f>
        <v>2.0017115465558646E-2</v>
      </c>
      <c r="I15" s="456">
        <f>IF(ISNUMBER(((NºAsuntos!I15/NºAsuntos!G15)-Datos!BE15)/Datos!BE15),((NºAsuntos!I15/NºAsuntos!G15)-Datos!BE15)/Datos!BE15," - ")</f>
        <v>-0.20035344302254729</v>
      </c>
      <c r="J15" s="461">
        <f>IF(ISNUMBER((('Resol  Asuntos'!D15/NºAsuntos!G15)-Datos!BF15)/Datos!BF15),(('Resol  Asuntos'!D15/NºAsuntos!G15)-Datos!BF15)/Datos!BF15," - ")</f>
        <v>0.16787374176388883</v>
      </c>
      <c r="K15" s="462">
        <f>IF(ISNUMBER((((NºAsuntos!C15+NºAsuntos!E15)/NºAsuntos!G15)-Datos!BG15)/Datos!BG15),(((NºAsuntos!C15+NºAsuntos!E15)/NºAsuntos!G15)-Datos!BG15)/Datos!BG15," - ")</f>
        <v>-8.2593669685879778E-2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-0.52380952380952384</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-0.8571428571428571</v>
      </c>
      <c r="E17" s="456">
        <f>IF(ISNUMBER(
   IF(D_I="SI",(Datos!L17-Datos!V17)/Datos!V17,(Datos!L17+Datos!AF17-(Datos!V17+Datos!AN17))/(Datos!V17+Datos!AN17))
     ),IF(D_I="SI",(Datos!L17-Datos!V17)/Datos!V17,(Datos!L17+Datos!AF17-(Datos!V17+Datos!AN17))/(Datos!V17+Datos!AN17))," - ")</f>
        <v>-0.47222222222222221</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2.6944444444444442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2.2558139534883721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-0.14937238493723851</v>
      </c>
      <c r="C18" s="855">
        <f>IF(ISNUMBER(
   IF(Criterios!B14="SI",(Datos!J18-Datos!T18)/Datos!T18,(Datos!J18+Datos!AD18-(Datos!T18+Datos!AL18))/(Datos!T18+Datos!AL18))
     ),IF(Criterios!B14="SI",(Datos!J18-Datos!T18)/Datos!T18,(Datos!J18+Datos!AD18-(Datos!T18+Datos!AL18))/(Datos!T18+Datos!AL18))," - ")</f>
        <v>7.3788899582932308E-3</v>
      </c>
      <c r="D18" s="855">
        <f>IF(ISNUMBER(
   IF(Criterios!B14="SI",(Datos!K18-Datos!U18)/Datos!U18,(Datos!K18+Datos!AE18-(Datos!U18+Datos!AM18))/(Datos!U18+Datos!AM18))
     ),IF(Criterios!B14="SI",(Datos!K18-Datos!U18)/Datos!U18,(Datos!K18+Datos!AE18-(Datos!U18+Datos!AM18))/(Datos!U18+Datos!AM18))," - ")</f>
        <v>2.5937499999999999E-2</v>
      </c>
      <c r="E18" s="855">
        <f>IF(ISNUMBER(
   IF(Criterios!B14="SI",(Datos!L18-Datos!V18)/Datos!V18,(Datos!L18+Datos!AF18-(Datos!V18+Datos!AN18))/(Datos!V18+Datos!AN18))
     ),IF(Criterios!B14="SI",(Datos!L18-Datos!V18)/Datos!V18,(Datos!L18+Datos!AF18-(Datos!V18+Datos!AN18))/(Datos!V18+Datos!AN18))," - ")</f>
        <v>-0.1817798397300717</v>
      </c>
      <c r="F18" s="856">
        <f>IF(ISNUMBER((Datos!M18-Datos!W18)/Datos!W18),(Datos!M18-Datos!W18)/Datos!W18," - ")</f>
        <v>0.20042643923240938</v>
      </c>
      <c r="G18" s="857">
        <f>IF(ISNUMBER((Datos!N18-Datos!X18)/Datos!X18),(Datos!N18-Datos!X18)/Datos!X18," - ")</f>
        <v>4.6904315196998128E-3</v>
      </c>
      <c r="H18" s="857">
        <f>IF(ISNUMBER(((NºAsuntos!G18/NºAsuntos!E18)-Datos!BD18)/Datos!BD18),((NºAsuntos!G18/NºAsuntos!E18)-Datos!BD18)/Datos!BD18," - ")</f>
        <v>1.84226711783438E-2</v>
      </c>
      <c r="I18" s="857">
        <f>IF(ISNUMBER(((NºAsuntos!I18/NºAsuntos!G18)-Datos!BE18)/Datos!BE18),((NºAsuntos!I18/NºAsuntos!G18)-Datos!BE18)/Datos!BE18," - ")</f>
        <v>-0.20246588094310977</v>
      </c>
      <c r="J18" s="857">
        <f>IF(ISNUMBER((('Resol  Asuntos'!D18/NºAsuntos!G18)-Datos!BF18)/Datos!BF18),(('Resol  Asuntos'!D18/NºAsuntos!G18)-Datos!BF18)/Datos!BF18," - ")</f>
        <v>0.17007755270901917</v>
      </c>
      <c r="K18" s="857">
        <f>IF(ISNUMBER((((NºAsuntos!C18+NºAsuntos!E18)/NºAsuntos!G18)-Datos!BG18)/Datos!BG18),(((NºAsuntos!C18+NºAsuntos!E18)/NºAsuntos!G18)-Datos!BG18)/Datos!BG18," - ")</f>
        <v>-8.4398495731155071E-2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-7.2385033284872599E-2</v>
      </c>
      <c r="C19" s="802">
        <f>IF(ISNUMBER(
   IF(J_V="SI",(Datos!J19-Datos!T19)/Datos!T19,(Datos!J19+Datos!Z19-(Datos!T19+Datos!AH19))/(Datos!T19+Datos!AH19))
     ),IF(J_V="SI",(Datos!J19-Datos!T19)/Datos!T19,(Datos!J19+Datos!Z19-(Datos!T19+Datos!AH19))/(Datos!T19+Datos!AH19))," - ")</f>
        <v>-9.6024303262448818E-2</v>
      </c>
      <c r="D19" s="802">
        <f>IF(ISNUMBER(
   IF(J_V="SI",(Datos!K19-Datos!U19)/Datos!U19,(Datos!K19+Datos!AA19-(Datos!U19+Datos!AI19))/(Datos!U19+Datos!AI19))
     ),IF(J_V="SI",(Datos!K19-Datos!U19)/Datos!U19,(Datos!K19+Datos!AA19-(Datos!U19+Datos!AI19))/(Datos!U19+Datos!AI19))," - ")</f>
        <v>0.11825472339268724</v>
      </c>
      <c r="E19" s="802">
        <f>IF(ISNUMBER(
   IF(J_V="SI",(Datos!L19-Datos!V19)/Datos!V19,(Datos!L19+Datos!AB19-(Datos!V19+Datos!AJ19))/(Datos!V19+Datos!AJ19))
     ),IF(J_V="SI",(Datos!L19-Datos!V19)/Datos!V19,(Datos!L19+Datos!AB19-(Datos!V19+Datos!AJ19))/(Datos!V19+Datos!AJ19))," - ")</f>
        <v>-0.18297360306836127</v>
      </c>
      <c r="F19" s="803">
        <f>IF(ISNUMBER((Datos!M19-Datos!W19)/Datos!W19),(Datos!M19-Datos!W19)/Datos!W19," - ")</f>
        <v>0.17669351018474658</v>
      </c>
      <c r="G19" s="804">
        <f>IF(ISNUMBER((Datos!N19-Datos!X19)/Datos!X19),(Datos!N19-Datos!X19)/Datos!X19," - ")</f>
        <v>5.7653502450273855E-2</v>
      </c>
      <c r="H19" s="805">
        <f>IF(ISNUMBER((Tasas!B19-Datos!BD19)/Datos!BD19),(Tasas!B19-Datos!BD19)/Datos!BD19," - ")</f>
        <v>0.23704069415634652</v>
      </c>
      <c r="I19" s="806">
        <f>IF(ISNUMBER((Tasas!C19-Datos!BE19)/Datos!BE19),(Tasas!C19-Datos!BE19)/Datos!BE19," - ")</f>
        <v>-0.26937362316445052</v>
      </c>
      <c r="J19" s="807">
        <f>IF(ISNUMBER((Tasas!D19-Datos!BF19)/Datos!BF19),(Tasas!D19-Datos!BF19)/Datos!BF19," - ")</f>
        <v>0.23406588063692729</v>
      </c>
      <c r="K19" s="807">
        <f>IF(ISNUMBER((Tasas!E19-Datos!BG19)/Datos!BG19),(Tasas!E19-Datos!BG19)/Datos!BG19," - ")</f>
        <v>-0.17823392181915665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0VRGYhbuUfaSqXchswtQJQ5o2OcJLNekmlea06JyrvCDFY0NFI3TLpgJHkHpSDXUu2sjkBzv3l3CN419MxKdw==" saltValue="28gcE608RAcJnNKjfbcB9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 CRISTOBAL DE LA LAGUNA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1.4096349491322562</v>
      </c>
      <c r="C9" s="443">
        <f>IF(ISNUMBER(NºAsuntos!I9/NºAsuntos!G9),NºAsuntos!I9/NºAsuntos!G9," - ")</f>
        <v>1.8155381023137338</v>
      </c>
      <c r="D9" s="444">
        <f>IF(ISNUMBER('Resol  Asuntos'!D9/NºAsuntos!G9),'Resol  Asuntos'!D9/NºAsuntos!G9," - ")</f>
        <v>0.39015071110167693</v>
      </c>
      <c r="E9" s="445">
        <f>IF(ISNUMBER((NºAsuntos!C9+NºAsuntos!E9)/NºAsuntos!G9),(NºAsuntos!C9+NºAsuntos!E9)/NºAsuntos!G9," - ")</f>
        <v>2.7998301846741667</v>
      </c>
      <c r="G9" s="463"/>
    </row>
    <row r="10" spans="1:7">
      <c r="A10" s="402" t="str">
        <f>Datos!A10</f>
        <v>Jdos. Violencia contra la mujer</v>
      </c>
      <c r="B10" s="442">
        <f>IF(ISNUMBER(NºAsuntos!G10/NºAsuntos!E10),NºAsuntos!G10/NºAsuntos!E10," - ")</f>
        <v>3</v>
      </c>
      <c r="C10" s="443">
        <f>IF(ISNUMBER(NºAsuntos!I10/NºAsuntos!G10),NºAsuntos!I10/NºAsuntos!G10," - ")</f>
        <v>3.6666666666666665</v>
      </c>
      <c r="D10" s="444">
        <f>IF(ISNUMBER('Resol  Asuntos'!D10/NºAsuntos!G10),'Resol  Asuntos'!D10/NºAsuntos!G10," - ")</f>
        <v>0.33333333333333331</v>
      </c>
      <c r="E10" s="445">
        <f>IF(ISNUMBER((NºAsuntos!C10+NºAsuntos!E10)/NºAsuntos!G10),(NºAsuntos!C10+NºAsuntos!E10)/NºAsuntos!G10," - ")</f>
        <v>4.666666666666667</v>
      </c>
      <c r="G10" s="463"/>
    </row>
    <row r="11" spans="1:7">
      <c r="A11" s="402" t="str">
        <f>Datos!A11</f>
        <v xml:space="preserve">Jdos. Familia                                   </v>
      </c>
      <c r="B11" s="442">
        <f>IF(ISNUMBER(NºAsuntos!G11/NºAsuntos!E11),NºAsuntos!G11/NºAsuntos!E11," - ")</f>
        <v>0.63711911357340723</v>
      </c>
      <c r="C11" s="443">
        <f>IF(ISNUMBER(NºAsuntos!I11/NºAsuntos!G11),NºAsuntos!I11/NºAsuntos!G11," - ")</f>
        <v>1.5652173913043479</v>
      </c>
      <c r="D11" s="444">
        <f>IF(ISNUMBER('Resol  Asuntos'!D11/NºAsuntos!G11),'Resol  Asuntos'!D11/NºAsuntos!G11," - ")</f>
        <v>0.35652173913043478</v>
      </c>
      <c r="E11" s="445">
        <f>IF(ISNUMBER((NºAsuntos!C11+NºAsuntos!E11)/NºAsuntos!G11),(NºAsuntos!C11+NºAsuntos!E11)/NºAsuntos!G11," - ")</f>
        <v>2.5652173913043477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1.3347732181425487</v>
      </c>
      <c r="C13" s="859">
        <f>IF(ISNUMBER(NºAsuntos!I13/NºAsuntos!G13),NºAsuntos!I13/NºAsuntos!G13," - ")</f>
        <v>1.8050161812297734</v>
      </c>
      <c r="D13" s="860">
        <f>IF(ISNUMBER('Resol  Asuntos'!D13/NºAsuntos!G13),'Resol  Asuntos'!D13/NºAsuntos!G13," - ")</f>
        <v>0.38855177993527507</v>
      </c>
      <c r="E13" s="861">
        <f>IF(ISNUMBER((NºAsuntos!C13+NºAsuntos!E13)/NºAsuntos!G13),(NºAsuntos!C13+NºAsuntos!E13)/NºAsuntos!G13," - ")</f>
        <v>2.7900485436893203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1.0452229299363058</v>
      </c>
      <c r="C15" s="443">
        <f>IF(ISNUMBER(NºAsuntos!I15/NºAsuntos!G15),NºAsuntos!I15/NºAsuntos!G15," - ")</f>
        <v>0.58226691042047529</v>
      </c>
      <c r="D15" s="444">
        <f>IF(ISNUMBER('Resol  Asuntos'!D15/NºAsuntos!G15),'Resol  Asuntos'!D15/NºAsuntos!G15," - ")</f>
        <v>0.17154174283973186</v>
      </c>
      <c r="E15" s="445">
        <f>IF(ISNUMBER((NºAsuntos!C15+NºAsuntos!E15)/NºAsuntos!G15),(NºAsuntos!C15+NºAsuntos!E15)/NºAsuntos!G15," - ")</f>
        <v>1.5670322973796467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19</v>
      </c>
      <c r="D17" s="444">
        <f>IF(ISNUMBER('Resol  Asuntos'!D17/NºAsuntos!G17),'Resol  Asuntos'!D17/NºAsuntos!G17," - ")</f>
        <v>0</v>
      </c>
      <c r="E17" s="445">
        <f>IF(ISNUMBER((NºAsuntos!C17+NºAsuntos!E17)/NºAsuntos!G17),(NºAsuntos!C17+NºAsuntos!E17)/NºAsuntos!G17," - ")</f>
        <v>20</v>
      </c>
      <c r="G17" s="463"/>
    </row>
    <row r="18" spans="1:7" ht="14.25" thickTop="1" thickBot="1">
      <c r="A18" s="848" t="str">
        <f>Datos!A18</f>
        <v>TOTAL</v>
      </c>
      <c r="B18" s="858">
        <f>IF(ISNUMBER(NºAsuntos!G18/NºAsuntos!E18),NºAsuntos!G18/NºAsuntos!E18," - ")</f>
        <v>1.0455414012738853</v>
      </c>
      <c r="C18" s="859">
        <f>IF(ISNUMBER(NºAsuntos!I18/NºAsuntos!G18),NºAsuntos!I18/NºAsuntos!G18," - ")</f>
        <v>0.59092293633871462</v>
      </c>
      <c r="D18" s="862">
        <f>IF(ISNUMBER('Resol  Asuntos'!D18/NºAsuntos!G18),'Resol  Asuntos'!D18/NºAsuntos!G18," - ")</f>
        <v>0.17148949131891564</v>
      </c>
      <c r="E18" s="861">
        <f>IF(ISNUMBER((NºAsuntos!C18+NºAsuntos!E18)/NºAsuntos!G18),(NºAsuntos!C18+NºAsuntos!E18)/NºAsuntos!G18," - ")</f>
        <v>1.5756929637526653</v>
      </c>
      <c r="G18" s="463"/>
    </row>
    <row r="19" spans="1:7" ht="15.75" customHeight="1" thickTop="1" thickBot="1">
      <c r="A19" s="793" t="str">
        <f>Datos!A19</f>
        <v>TOTAL JURISDICCIONES</v>
      </c>
      <c r="B19" s="808">
        <f>IF(ISNUMBER(NºAsuntos!G19/NºAsuntos!E19),NºAsuntos!G19/NºAsuntos!E19," - ")</f>
        <v>1.2020748100526009</v>
      </c>
      <c r="C19" s="809">
        <f>IF(ISNUMBER(NºAsuntos!I19/NºAsuntos!G19),NºAsuntos!I19/NºAsuntos!G19," - ")</f>
        <v>1.3205299623191928</v>
      </c>
      <c r="D19" s="810">
        <f>IF(ISNUMBER('Resol  Asuntos'!D19/NºAsuntos!G19),'Resol  Asuntos'!D19/NºAsuntos!G19," - ")</f>
        <v>0.30193266075118513</v>
      </c>
      <c r="E19" s="811">
        <f>IF(ISNUMBER((NºAsuntos!C19+NºAsuntos!E19)/NºAsuntos!G19),(NºAsuntos!C19+NºAsuntos!E19)/NºAsuntos!G19," - ")</f>
        <v>2.3054576394797617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8gXpMHQV8HUIZiONdm8Ib2HedtfrHFVb8j2M81IJX+0ly11yKGSnEayOh2iYoXhJHCYAzryYJgAVbLil9d8MQ==" saltValue="erCY0WAg72m8qwvWQipD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 CRISTOBAL DE LA LAGUNA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840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654</v>
      </c>
      <c r="Y9" s="334">
        <f>SUM(W9:X9)</f>
        <v>654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11951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1838</v>
      </c>
      <c r="AJ9" s="229" t="str">
        <f>IF(ISNUMBER(Datos!BW9),Datos!BW9," - ")</f>
        <v xml:space="preserve"> - </v>
      </c>
      <c r="AK9" s="228" t="str">
        <f>IF(ISNUMBER(Datos!BX9),Datos!BX9," - ")</f>
        <v xml:space="preserve"> - </v>
      </c>
      <c r="AL9" s="243">
        <f>IF(ISNUMBER(NºAsuntos!G9/NºAsuntos!E9),NºAsuntos!G9/NºAsuntos!E9," - ")</f>
        <v>1.4096349491322562</v>
      </c>
      <c r="AM9" s="260">
        <f>IF(ISNUMBER(((NºAsuntos!I9/NºAsuntos!G9)*11)/factor_trimestre),((NºAsuntos!I9/NºAsuntos!G9)*11)/factor_trimestre," - ")</f>
        <v>5.4466143069412016</v>
      </c>
      <c r="AN9" s="244">
        <f>IF(ISNUMBER('Resol  Asuntos'!D9/NºAsuntos!G9),'Resol  Asuntos'!D9/NºAsuntos!G9," - ")</f>
        <v>0.39015071110167693</v>
      </c>
      <c r="AO9" s="245">
        <f>IF(ISNUMBER((NºAsuntos!C9+NºAsuntos!E9)/NºAsuntos!G9),(NºAsuntos!C9+NºAsuntos!E9)/NºAsuntos!G9," - ")</f>
        <v>2.7998301846741667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11</v>
      </c>
      <c r="AB10" s="334">
        <f>IF(ISNUMBER(Datos!R10),Datos!R10," - ")</f>
        <v>65</v>
      </c>
      <c r="AC10" s="334">
        <f t="shared" ref="AC10:AC12" si="1">IF(ISNUMBER(AA10+AB10),AA10+AB10," - ")</f>
        <v>76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11</v>
      </c>
      <c r="AN10" s="244">
        <f>IF(ISNUMBER('Resol  Asuntos'!D10/NºAsuntos!G10),'Resol  Asuntos'!D10/NºAsuntos!G10," - ")</f>
        <v>0.33333333333333331</v>
      </c>
      <c r="AO10" s="245">
        <f>IF(ISNUMBER((NºAsuntos!C10+NºAsuntos!E10)/NºAsuntos!G10),(NºAsuntos!C10+NºAsuntos!E10)/NºAsuntos!G10," - ")</f>
        <v>4.666666666666667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0</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82</v>
      </c>
      <c r="AJ11" s="231" t="str">
        <f>IF(ISNUMBER(Datos!BW11),Datos!BW11," - ")</f>
        <v xml:space="preserve"> - </v>
      </c>
      <c r="AK11" s="232" t="str">
        <f>IF(ISNUMBER(Datos!BX11),Datos!BX11," - ")</f>
        <v xml:space="preserve"> - </v>
      </c>
      <c r="AL11" s="243">
        <f>IF(ISNUMBER(NºAsuntos!G11/NºAsuntos!E11),NºAsuntos!G11/NºAsuntos!E11," - ")</f>
        <v>0.63711911357340723</v>
      </c>
      <c r="AM11" s="260">
        <f>IF(ISNUMBER(((NºAsuntos!I11/NºAsuntos!G11)*11)/factor_trimestre),((NºAsuntos!I11/NºAsuntos!G11)*11)/factor_trimestre," - ")</f>
        <v>4.6956521739130439</v>
      </c>
      <c r="AN11" s="244">
        <f>IF(ISNUMBER('Resol  Asuntos'!D11/NºAsuntos!G11),'Resol  Asuntos'!D11/NºAsuntos!G11," - ")</f>
        <v>0.35652173913043478</v>
      </c>
      <c r="AO11" s="245">
        <f>IF(ISNUMBER((NºAsuntos!C11+NºAsuntos!E11)/NºAsuntos!G11),(NºAsuntos!C11+NºAsuntos!E11)/NºAsuntos!G11," - ")</f>
        <v>2.5652173913043477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13</v>
      </c>
      <c r="G13" s="866">
        <f t="shared" si="3"/>
        <v>13</v>
      </c>
      <c r="H13" s="865">
        <f t="shared" si="3"/>
        <v>0</v>
      </c>
      <c r="I13" s="867">
        <f t="shared" si="3"/>
        <v>0</v>
      </c>
      <c r="J13" s="867">
        <f t="shared" si="3"/>
        <v>0</v>
      </c>
      <c r="K13" s="867">
        <f t="shared" si="3"/>
        <v>0</v>
      </c>
      <c r="L13" s="867">
        <f t="shared" si="3"/>
        <v>840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655</v>
      </c>
      <c r="Y13" s="868">
        <f t="shared" si="4"/>
        <v>658</v>
      </c>
      <c r="Z13" s="868">
        <f t="shared" si="4"/>
        <v>0</v>
      </c>
      <c r="AA13" s="868">
        <f t="shared" si="4"/>
        <v>11</v>
      </c>
      <c r="AB13" s="868">
        <f t="shared" si="4"/>
        <v>12016</v>
      </c>
      <c r="AC13" s="868">
        <f t="shared" si="4"/>
        <v>76</v>
      </c>
      <c r="AD13" s="868">
        <f t="shared" si="4"/>
        <v>0</v>
      </c>
      <c r="AE13" s="872">
        <f t="shared" si="4"/>
        <v>0</v>
      </c>
      <c r="AF13" s="865">
        <f t="shared" si="4"/>
        <v>0</v>
      </c>
      <c r="AG13" s="873">
        <f t="shared" si="4"/>
        <v>0</v>
      </c>
      <c r="AH13" s="870">
        <f t="shared" si="4"/>
        <v>0</v>
      </c>
      <c r="AI13" s="865">
        <f t="shared" si="4"/>
        <v>1921</v>
      </c>
      <c r="AJ13" s="867">
        <f t="shared" si="4"/>
        <v>0</v>
      </c>
      <c r="AK13" s="870">
        <f>SUBTOTAL(9,AK9:AK12)</f>
        <v>0</v>
      </c>
      <c r="AL13" s="874">
        <f>IF(ISNUMBER(NºAsuntos!G13/NºAsuntos!E13),NºAsuntos!G13/NºAsuntos!E13," - ")</f>
        <v>1.3347732181425487</v>
      </c>
      <c r="AM13" s="874">
        <f>IF(ISNUMBER(((NºAsuntos!I13/NºAsuntos!G13)*11)/factor_trimestre),((NºAsuntos!I13/NºAsuntos!G13)*11)/factor_trimestre," - ")</f>
        <v>5.4150485436893208</v>
      </c>
      <c r="AN13" s="875">
        <f>IF(ISNUMBER('Resol  Asuntos'!D13/NºAsuntos!G13),'Resol  Asuntos'!D13/NºAsuntos!G13," - ")</f>
        <v>0.38855177993527507</v>
      </c>
      <c r="AO13" s="876">
        <f>IF(ISNUMBER((NºAsuntos!C13+NºAsuntos!E13)/NºAsuntos!G13),(NºAsuntos!C13+NºAsuntos!E13)/NºAsuntos!G13," - ")</f>
        <v>2.7900485436893203</v>
      </c>
      <c r="AP13" s="877" t="str">
        <f t="shared" si="2"/>
        <v xml:space="preserve"> - </v>
      </c>
      <c r="AQ13" s="877">
        <f>IF(ISNUMBER((H13-W13+K13)/(F13)),(H13-W13+K13)/(F13)," - ")</f>
        <v>-0.23076923076923078</v>
      </c>
      <c r="AR13" s="878">
        <f>IF(ISNUMBER((Datos!P13-Datos!Q13)/(Datos!R13-Datos!P13+Datos!Q13)),(Datos!P13-Datos!Q13)/(Datos!R13-Datos!P13+Datos!Q13)," - ")</f>
        <v>1.5636886146564111E-2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2053</v>
      </c>
      <c r="G15" s="333">
        <f>IF(ISNUMBER(IF(D_I="SI",Datos!I15,Datos!I15+Datos!AC15)),IF(D_I="SI",Datos!I15,Datos!I15+Datos!AC15)," - ")</f>
        <v>2003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161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3282</v>
      </c>
      <c r="X15" s="226">
        <f>IF(ISNUMBER(Datos!Q15),Datos!Q15," - ")</f>
        <v>191</v>
      </c>
      <c r="Y15" s="334">
        <f>SUM(W15)</f>
        <v>3282</v>
      </c>
      <c r="Z15" s="335" t="str">
        <f>IF(ISNUMBER(Datos!CC15),Datos!CC15," - ")</f>
        <v xml:space="preserve"> - </v>
      </c>
      <c r="AA15" s="332">
        <f>IF(ISNUMBER(IF(D_I="SI",Datos!L15,Datos!L15+Datos!AF15)),IF(D_I="SI",Datos!L15,Datos!L15+Datos!AF15)," - ")</f>
        <v>1911</v>
      </c>
      <c r="AB15" s="334">
        <f>IF(ISNUMBER(Datos!R15),Datos!R15," - ")</f>
        <v>414</v>
      </c>
      <c r="AC15" s="334">
        <f t="shared" ref="AC15:AC17" si="6">IF(ISNUMBER(AA15+AB15),AA15+AB15," - ")</f>
        <v>2325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563</v>
      </c>
      <c r="AJ15" s="231" t="str">
        <f>IF(ISNUMBER(Datos!BW15),Datos!BW15," - ")</f>
        <v xml:space="preserve"> - </v>
      </c>
      <c r="AK15" s="232" t="str">
        <f>IF(ISNUMBER(Datos!BX15),Datos!BX15," - ")</f>
        <v xml:space="preserve"> - </v>
      </c>
      <c r="AL15" s="243">
        <f>IF(ISNUMBER(NºAsuntos!G15/NºAsuntos!E15),NºAsuntos!G15/NºAsuntos!E15," - ")</f>
        <v>1.0452229299363058</v>
      </c>
      <c r="AM15" s="260">
        <f>IF(ISNUMBER(((NºAsuntos!I15/NºAsuntos!G15)*11)/factor_trimestre),((NºAsuntos!I15/NºAsuntos!G15)*11)/factor_trimestre," - ")</f>
        <v>1.746800731261426</v>
      </c>
      <c r="AN15" s="244">
        <f>IF(ISNUMBER('Resol  Asuntos'!D15/NºAsuntos!G15),'Resol  Asuntos'!D15/NºAsuntos!G15," - ")</f>
        <v>0.17154174283973186</v>
      </c>
      <c r="AO15" s="245">
        <f>IF(ISNUMBER((NºAsuntos!C15+NºAsuntos!E15)/NºAsuntos!G15),(NºAsuntos!C15+NºAsuntos!E15)/NºAsuntos!G15," - ")</f>
        <v>1.5670322973796467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10</v>
      </c>
      <c r="G16" s="333">
        <f>IF(ISNUMBER(IF(D_I="SI",Datos!I16,Datos!I16+Datos!AC16)),IF(D_I="SI",Datos!I16,Datos!I16+Datos!AC16)," - ")</f>
        <v>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10</v>
      </c>
      <c r="AB16" s="334">
        <f>IF(ISNUMBER(Datos!R16),Datos!R16," - ")</f>
        <v>0</v>
      </c>
      <c r="AC16" s="334">
        <f t="shared" si="6"/>
        <v>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19</v>
      </c>
      <c r="AB17" s="334">
        <f>IF(ISNUMBER(Datos!R17),Datos!R17," - ")</f>
        <v>1</v>
      </c>
      <c r="AC17" s="334">
        <f t="shared" si="6"/>
        <v>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57</v>
      </c>
      <c r="AN17" s="244">
        <f>IF(ISNUMBER('Resol  Asuntos'!D17/NºAsuntos!G17),'Resol  Asuntos'!D17/NºAsuntos!G17," - ")</f>
        <v>0</v>
      </c>
      <c r="AO17" s="245">
        <f>IF(ISNUMBER((NºAsuntos!C17+NºAsuntos!E17)/NºAsuntos!G17),(NºAsuntos!C17+NºAsuntos!E17)/NºAsuntos!G17," - ")</f>
        <v>20</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2063</v>
      </c>
      <c r="G18" s="866">
        <f>SUBTOTAL(9,G15:G17)</f>
        <v>2033</v>
      </c>
      <c r="H18" s="865">
        <f t="shared" ref="H18:O18" si="10">SUBTOTAL(9,H14:H17)</f>
        <v>0</v>
      </c>
      <c r="I18" s="867">
        <f t="shared" si="10"/>
        <v>0</v>
      </c>
      <c r="J18" s="867">
        <f t="shared" si="10"/>
        <v>0</v>
      </c>
      <c r="K18" s="867">
        <f t="shared" si="10"/>
        <v>0</v>
      </c>
      <c r="L18" s="867">
        <f t="shared" si="10"/>
        <v>161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3283</v>
      </c>
      <c r="X18" s="867">
        <f t="shared" si="11"/>
        <v>191</v>
      </c>
      <c r="Y18" s="868">
        <f t="shared" si="11"/>
        <v>3283</v>
      </c>
      <c r="Z18" s="868">
        <f t="shared" si="11"/>
        <v>0</v>
      </c>
      <c r="AA18" s="868">
        <f t="shared" si="11"/>
        <v>1940</v>
      </c>
      <c r="AB18" s="868">
        <f t="shared" si="11"/>
        <v>415</v>
      </c>
      <c r="AC18" s="868">
        <f t="shared" si="11"/>
        <v>2355</v>
      </c>
      <c r="AD18" s="868">
        <f t="shared" si="11"/>
        <v>0</v>
      </c>
      <c r="AE18" s="872">
        <f t="shared" si="11"/>
        <v>0</v>
      </c>
      <c r="AF18" s="865">
        <f t="shared" si="11"/>
        <v>0</v>
      </c>
      <c r="AG18" s="873">
        <f t="shared" si="11"/>
        <v>0</v>
      </c>
      <c r="AH18" s="870">
        <f t="shared" si="11"/>
        <v>0</v>
      </c>
      <c r="AI18" s="865">
        <f t="shared" si="11"/>
        <v>563</v>
      </c>
      <c r="AJ18" s="867">
        <f t="shared" si="11"/>
        <v>0</v>
      </c>
      <c r="AK18" s="870">
        <f t="shared" si="11"/>
        <v>0</v>
      </c>
      <c r="AL18" s="874">
        <f>IF(ISNUMBER(NºAsuntos!G18/NºAsuntos!E18),NºAsuntos!G18/NºAsuntos!E18," - ")</f>
        <v>1.0455414012738853</v>
      </c>
      <c r="AM18" s="874">
        <f>IF(ISNUMBER(((NºAsuntos!I18/NºAsuntos!G18)*11)/factor_trimestre),((NºAsuntos!I18/NºAsuntos!G18)*11)/factor_trimestre," - ")</f>
        <v>1.772768809016144</v>
      </c>
      <c r="AN18" s="875">
        <f>IF(ISNUMBER('Resol  Asuntos'!D18/NºAsuntos!G18),'Resol  Asuntos'!D18/NºAsuntos!G18," - ")</f>
        <v>0.17148949131891564</v>
      </c>
      <c r="AO18" s="876">
        <f>IF(ISNUMBER((NºAsuntos!C18+NºAsuntos!E18)/NºAsuntos!G18),(NºAsuntos!C18+NºAsuntos!E18)/NºAsuntos!G18," - ")</f>
        <v>1.5756929637526653</v>
      </c>
      <c r="AP18" s="877" t="str">
        <f t="shared" si="2"/>
        <v xml:space="preserve"> - </v>
      </c>
      <c r="AQ18" s="877">
        <f>IF(ISNUMBER((H18-W18+K18)/(F18)),(H18-W18+K18)/(F18)," - ")</f>
        <v>-1.5913717886572951</v>
      </c>
      <c r="AR18" s="878">
        <f>IF(ISNUMBER((Datos!P18-Datos!Q18)/(Datos!R18-Datos!P18+Datos!Q18)),(Datos!P18-Datos!Q18)/(Datos!R18-Datos!P18+Datos!Q18)," - ")</f>
        <v>-6.741573033707865E-2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2076</v>
      </c>
      <c r="G19" s="821">
        <f t="shared" si="13"/>
        <v>2046</v>
      </c>
      <c r="H19" s="820">
        <f t="shared" si="13"/>
        <v>0</v>
      </c>
      <c r="I19" s="822">
        <f t="shared" si="13"/>
        <v>0</v>
      </c>
      <c r="J19" s="822">
        <f t="shared" si="13"/>
        <v>0</v>
      </c>
      <c r="K19" s="881">
        <f t="shared" si="13"/>
        <v>0</v>
      </c>
      <c r="L19" s="822">
        <f t="shared" si="13"/>
        <v>1001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3286</v>
      </c>
      <c r="X19" s="821">
        <f t="shared" si="14"/>
        <v>846</v>
      </c>
      <c r="Y19" s="828">
        <f t="shared" si="14"/>
        <v>3941</v>
      </c>
      <c r="Z19" s="828">
        <f t="shared" si="14"/>
        <v>0</v>
      </c>
      <c r="AA19" s="828">
        <f t="shared" si="14"/>
        <v>1951</v>
      </c>
      <c r="AB19" s="828">
        <f t="shared" si="14"/>
        <v>12431</v>
      </c>
      <c r="AC19" s="828">
        <f t="shared" si="14"/>
        <v>2431</v>
      </c>
      <c r="AD19" s="828">
        <f t="shared" si="14"/>
        <v>0</v>
      </c>
      <c r="AE19" s="830">
        <f t="shared" si="14"/>
        <v>0</v>
      </c>
      <c r="AF19" s="831">
        <f t="shared" si="14"/>
        <v>0</v>
      </c>
      <c r="AG19" s="832">
        <f t="shared" si="14"/>
        <v>0</v>
      </c>
      <c r="AH19" s="830">
        <f t="shared" si="14"/>
        <v>0</v>
      </c>
      <c r="AI19" s="820">
        <f t="shared" si="14"/>
        <v>2484</v>
      </c>
      <c r="AJ19" s="820">
        <f t="shared" si="14"/>
        <v>0</v>
      </c>
      <c r="AK19" s="830">
        <f t="shared" si="14"/>
        <v>0</v>
      </c>
      <c r="AL19" s="884">
        <f>IF(ISNUMBER(NºAsuntos!G19/NºAsuntos!E19),NºAsuntos!G19/NºAsuntos!E19," - ")</f>
        <v>1.2020748100526009</v>
      </c>
      <c r="AM19" s="885">
        <f>IF(ISNUMBER(((NºAsuntos!I19/NºAsuntos!G19)*11)/factor_trimestre),((NºAsuntos!I19/NºAsuntos!G19)*11)/factor_trimestre," - ")</f>
        <v>3.961589886957579</v>
      </c>
      <c r="AN19" s="885">
        <f>IF(ISNUMBER('Resol  Asuntos'!D19/NºAsuntos!G19),'Resol  Asuntos'!D19/NºAsuntos!G19," - ")</f>
        <v>0.30193266075118513</v>
      </c>
      <c r="AO19" s="886">
        <f>IF(ISNUMBER((NºAsuntos!C19+NºAsuntos!E19)/NºAsuntos!G19),(NºAsuntos!C19+NºAsuntos!E19)/NºAsuntos!G19," - ")</f>
        <v>2.3054576394797617</v>
      </c>
      <c r="AP19" s="887" t="str">
        <f t="shared" si="2"/>
        <v xml:space="preserve"> - </v>
      </c>
      <c r="AQ19" s="888">
        <f>IF(OR(ISNUMBER(FIND("01",Criterios!A8,1)),ISNUMBER(FIND("02",Criterios!A8,1)),ISNUMBER(FIND("03",Criterios!A8,1)),ISNUMBER(FIND("04",Criterios!A8,1))),(I19-W19+K19)/(F19-K19),(H19-W19+K19)/(F19-K19))</f>
        <v>-1.5828516377649327</v>
      </c>
      <c r="AR19" s="889">
        <f>IF(ISNUMBER((Datos!P19-Datos!Q19)/(Datos!R19-Datos!P19+Datos!Q19)),(Datos!P19-Datos!Q19)/(Datos!R19-Datos!P19+Datos!Q19)," - ")</f>
        <v>1.2626262626262626E-2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682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3.2015621187164243</v>
      </c>
      <c r="F21" s="252">
        <f>IF(ISNUMBER(STDEV(F8:F18)),STDEV(F8:F18),"-")</f>
        <v>1120.6465990668066</v>
      </c>
      <c r="G21" s="253">
        <f>IF(ISNUMBER(STDEV(G8:G18)),STDEV(G8:G18),"-")</f>
        <v>1034.9098511464658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1694.1724430135991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812.75721203461842</v>
      </c>
      <c r="AJ21" s="252">
        <f t="shared" si="18"/>
        <v>0</v>
      </c>
      <c r="AK21" s="254">
        <f t="shared" si="18"/>
        <v>0</v>
      </c>
      <c r="AL21" s="249">
        <f t="shared" si="18"/>
        <v>0.82425375546403346</v>
      </c>
      <c r="AM21" s="250">
        <f t="shared" si="18"/>
        <v>19.891513433971056</v>
      </c>
      <c r="AN21" s="250">
        <f t="shared" si="18"/>
        <v>0.1479909108304811</v>
      </c>
      <c r="AO21" s="251">
        <f t="shared" si="18"/>
        <v>6.6350353555487764</v>
      </c>
      <c r="AP21" s="291" t="str">
        <f t="shared" si="18"/>
        <v>-</v>
      </c>
      <c r="AQ21" s="292">
        <f t="shared" si="18"/>
        <v>0.96209129518241232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k7CUvDAo21M/UAFWMtrCF/943zh8xNnS/Vl1kKeVOR1Wftq1/If2m6VFfz964GM7awmPz2hRZ+vSNIKXahxhw==" saltValue="QykFAnmqbF0aeClCRPab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 CRISTOBAL DE LA LAGUNA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0.12141549725442342</v>
      </c>
      <c r="I9" s="350">
        <f>IF(ISNUMBER((Tasas!C9-Datos!BE9)/Datos!BE9),(Tasas!C9-Datos!BE9)/Datos!BE9," - ")</f>
        <v>-0.31002231393923629</v>
      </c>
      <c r="J9" s="349">
        <f>IF(ISNUMBER((Tasas!D9-Datos!BF9)/Datos!BF9),(Tasas!D9-Datos!BF9)/Datos!BF9," - ")</f>
        <v>0.21833960763452867</v>
      </c>
      <c r="K9" s="351">
        <f>IF(ISNUMBER((Tasas!E9-Datos!BG9)/Datos!BG9),(Tasas!E9-Datos!BG9)/Datos!BG9," - ")</f>
        <v>-0.23152453664413467</v>
      </c>
      <c r="M9" t="e">
        <f>IF(Monitorios="SI",Datos!CE9,0)</f>
        <v>#REF!</v>
      </c>
      <c r="N9" t="e">
        <f>IF(Monitorios="SI",Datos!CF9,0)</f>
        <v>#REF!</v>
      </c>
      <c r="O9" t="e">
        <f>IF(Monitorios="SI",Datos!CG9,0)</f>
        <v>#REF!</v>
      </c>
      <c r="P9" t="e">
        <f>IF(Monitorios="SI",Datos!CH9,0)</f>
        <v>#REF!</v>
      </c>
      <c r="Q9">
        <f>IF(J_V="SI",0,Datos!AG9)</f>
        <v>166</v>
      </c>
      <c r="R9">
        <f>IF(J_V="SI",0,Datos!AH9)</f>
        <v>157</v>
      </c>
      <c r="S9">
        <f>IF(J_V="SI",0,Datos!AI9)</f>
        <v>152</v>
      </c>
      <c r="T9">
        <f>IF(J_V="SI",0,Datos!AJ9)</f>
        <v>171</v>
      </c>
    </row>
    <row r="10" spans="2:20" ht="14.25">
      <c r="B10" s="275" t="s">
        <v>246</v>
      </c>
      <c r="C10" s="7" t="str">
        <f>Datos!A10</f>
        <v>Jdos. Violencia contra la mujer</v>
      </c>
      <c r="D10" s="352">
        <f>IF(ISNUMBER((Datos!I10-Datos!S10)/Datos!S10),(Datos!I10-Datos!S10)/Datos!S10," - ")</f>
        <v>-0.13333333333333333</v>
      </c>
      <c r="E10" s="348">
        <f>IF(ISNUMBER((Datos!J10-Datos!T10)/Datos!T10),(Datos!J10-Datos!T10)/Datos!T10," - ")</f>
        <v>-0.88888888888888884</v>
      </c>
      <c r="F10" s="348">
        <f>IF(ISNUMBER((Datos!K10-Datos!U10)/Datos!U10),(Datos!K10-Datos!U10)/Datos!U10," - ")</f>
        <v>-0.7</v>
      </c>
      <c r="G10" s="349">
        <f>IF(ISNUMBER((Datos!L10-Datos!V10)/Datos!V10),(Datos!L10-Datos!V10)/Datos!V10," - ")</f>
        <v>-0.21428571428571427</v>
      </c>
      <c r="H10" s="230">
        <f>IF(ISNUMBER((Datos!M10-Datos!W10)/Datos!W10),(Datos!M10-Datos!W10)/Datos!W10," - ")</f>
        <v>-0.66666666666666663</v>
      </c>
      <c r="I10" s="350">
        <f>IF(ISNUMBER((Tasas!C10-Datos!BE10)/Datos!BE10),(Tasas!C10-Datos!BE10)/Datos!BE10," - ")</f>
        <v>1.6190476190476191</v>
      </c>
      <c r="J10" s="349">
        <f>IF(ISNUMBER((Tasas!D10-Datos!BF10)/Datos!BF10),(Tasas!D10-Datos!BF10)/Datos!BF10," - ")</f>
        <v>0.11111111111111109</v>
      </c>
      <c r="K10" s="351">
        <f>IF(ISNUMBER((Tasas!E10-Datos!BG10)/Datos!BG10),(Tasas!E10-Datos!BG10)/Datos!BG10," - ")</f>
        <v>0.94444444444444464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0.16991473812423874</v>
      </c>
      <c r="I13" s="357">
        <f>IF(ISNUMBER((Tasas!C13-Datos!BE13)/Datos!BE13),(Tasas!C13-Datos!BE13)/Datos!BE13," - ")</f>
        <v>-0.31324800792859531</v>
      </c>
      <c r="J13" s="355">
        <f>IF(ISNUMBER((Tasas!D13-Datos!BF13)/Datos!BF13),(Tasas!D13-Datos!BF13)/Datos!BF13," - ")</f>
        <v>0.21353099112767734</v>
      </c>
      <c r="K13" s="358">
        <f>IF(ISNUMBER((Tasas!E13-Datos!BG13)/Datos!BG13),(Tasas!E13-Datos!BG13)/Datos!BG13," - ")</f>
        <v>-0.23358013638297073</v>
      </c>
      <c r="M13" t="e">
        <f>IF(Monitorios="SI",Datos!CE13,0)</f>
        <v>#REF!</v>
      </c>
      <c r="N13" t="e">
        <f>IF(Monitorios="SI",Datos!CF13,0)</f>
        <v>#REF!</v>
      </c>
      <c r="O13" t="e">
        <f>IF(Monitorios="SI",Datos!CG13,0)</f>
        <v>#REF!</v>
      </c>
      <c r="P13" t="e">
        <f>IF(Monitorios="SI",Datos!CH13,0)</f>
        <v>#REF!</v>
      </c>
      <c r="Q13">
        <f>IF(J_V="SI",0,Datos!AG13)</f>
        <v>166</v>
      </c>
      <c r="R13">
        <f>IF(J_V="SI",0,Datos!AH13)</f>
        <v>157</v>
      </c>
      <c r="S13">
        <f>IF(J_V="SI",0,Datos!AI13)</f>
        <v>152</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-0.14328485885372114</v>
      </c>
      <c r="E15" s="348">
        <f>IF(ISNUMBER(
   IF(D_I="SI",(Datos!J15-Datos!T15)/Datos!T15,(Datos!J15+Datos!AD15-(Datos!T15+Datos!AL15))/(Datos!T15+Datos!AL15))
     ),IF(D_I="SI",(Datos!J15-Datos!T15)/Datos!T15,(Datos!J15+Datos!AD15-(Datos!T15+Datos!AL15))/(Datos!T15+Datos!AL15))," - ")</f>
        <v>7.7021822849807449E-3</v>
      </c>
      <c r="F15" s="348">
        <f>IF(ISNUMBER(
   IF(D_I="SI",(Datos!K15-Datos!U15)/Datos!U15,(Datos!K15+Datos!AE15-(Datos!U15+Datos!AM15))/(Datos!U15+Datos!AM15))
     ),IF(D_I="SI",(Datos!K15-Datos!U15)/Datos!U15,(Datos!K15+Datos!AE15-(Datos!U15+Datos!AM15))/(Datos!U15+Datos!AM15))," - ")</f>
        <v>2.78734732226746E-2</v>
      </c>
      <c r="G15" s="349">
        <f>IF(ISNUMBER(
   IF(D_I="SI",(Datos!L15-Datos!V15)/Datos!V15,(Datos!L15+Datos!AF15-(Datos!V15+Datos!AN15))/(Datos!V15+Datos!AN15))
     ),IF(D_I="SI",(Datos!L15-Datos!V15)/Datos!V15,(Datos!L15+Datos!AF15-(Datos!V15+Datos!AN15))/(Datos!V15+Datos!AN15))," - ")</f>
        <v>-0.17806451612903226</v>
      </c>
      <c r="H15" s="230">
        <f>IF(ISNUMBER((Datos!M15-Datos!W15)/Datos!W15),(Datos!M15-Datos!W15)/Datos!W15," - ")</f>
        <v>0.20042643923240938</v>
      </c>
      <c r="I15" s="350">
        <f>IF(ISNUMBER((Tasas!C15-Datos!BE15)/Datos!BE15),(Tasas!C15-Datos!BE15)/Datos!BE15," - ")</f>
        <v>-0.20035344302254729</v>
      </c>
      <c r="J15" s="349">
        <f>IF(ISNUMBER((Tasas!D15-Datos!BF15)/Datos!BF15),(Tasas!D15-Datos!BF15)/Datos!BF15," - ")</f>
        <v>0.16787374176388883</v>
      </c>
      <c r="K15" s="351">
        <f>IF(ISNUMBER((Tasas!E15-Datos!BG15)/Datos!BG15),(Tasas!E15-Datos!BG15)/Datos!BG15," - ")</f>
        <v>-8.2593669685879778E-2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-0.52380952380952384</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-0.8571428571428571</v>
      </c>
      <c r="G17" s="349">
        <f>IF(ISNUMBER(
   IF(D_I="SI",(Datos!L17-Datos!V17)/Datos!V17,(Datos!L17+Datos!AF17-(Datos!V17+Datos!AN17))/(Datos!V17+Datos!AN17))
     ),IF(D_I="SI",(Datos!L17-Datos!V17)/Datos!V17,(Datos!L17+Datos!AF17-(Datos!V17+Datos!AN17))/(Datos!V17+Datos!AN17))," - ")</f>
        <v>-0.47222222222222221</v>
      </c>
      <c r="H17" s="230" t="str">
        <f>IF(ISNUMBER((Datos!M17-Datos!W17)/Datos!W17),(Datos!M17-Datos!W17)/Datos!W17," - ")</f>
        <v xml:space="preserve"> - </v>
      </c>
      <c r="I17" s="350">
        <f>IF(ISNUMBER((Tasas!C17-Datos!BE17)/Datos!BE17),(Tasas!C17-Datos!BE17)/Datos!BE17," - ")</f>
        <v>2.6944444444444442</v>
      </c>
      <c r="J17" s="349" t="str">
        <f>IF(ISNUMBER((Tasas!D17-Datos!BF17)/Datos!BF17),(Tasas!D17-Datos!BF17)/Datos!BF17," - ")</f>
        <v xml:space="preserve"> - </v>
      </c>
      <c r="K17" s="351">
        <f>IF(ISNUMBER((Tasas!E17-Datos!BG17)/Datos!BG17),(Tasas!E17-Datos!BG17)/Datos!BG17," - ")</f>
        <v>2.2558139534883721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-0.14937238493723851</v>
      </c>
      <c r="E18" s="354">
        <f>IF(ISNUMBER(
   IF(D_I="SI",(Datos!J18-Datos!T18)/Datos!T18,(Datos!J18+Datos!AD18-(Datos!T18+Datos!AL18))/(Datos!T18+Datos!AL18))
     ),IF(D_I="SI",(Datos!J18-Datos!T18)/Datos!T18,(Datos!J18+Datos!AD18-(Datos!T18+Datos!AL18))/(Datos!T18+Datos!AL18))," - ")</f>
        <v>7.3788899582932308E-3</v>
      </c>
      <c r="F18" s="354">
        <f>IF(ISNUMBER(
   IF(D_I="SI",(Datos!K18-Datos!U18)/Datos!U18,(Datos!K18+Datos!AE18-(Datos!U18+Datos!AM18))/(Datos!U18+Datos!AM18))
     ),IF(D_I="SI",(Datos!K18-Datos!U18)/Datos!U18,(Datos!K18+Datos!AE18-(Datos!U18+Datos!AM18))/(Datos!U18+Datos!AM18))," - ")</f>
        <v>2.5937499999999999E-2</v>
      </c>
      <c r="G18" s="355">
        <f>IF(ISNUMBER(
   IF(D_I="SI",(Datos!L18-Datos!V18)/Datos!V18,(Datos!L18+Datos!AF18-(Datos!V18+Datos!AN18))/(Datos!V18+Datos!AN18))
     ),IF(D_I="SI",(Datos!L18-Datos!V18)/Datos!V18,(Datos!L18+Datos!AF18-(Datos!V18+Datos!AN18))/(Datos!V18+Datos!AN18))," - ")</f>
        <v>-0.1817798397300717</v>
      </c>
      <c r="H18" s="356">
        <f>IF(ISNUMBER((Datos!M18-Datos!W18)/Datos!W18),(Datos!M18-Datos!W18)/Datos!W18," - ")</f>
        <v>0.20042643923240938</v>
      </c>
      <c r="I18" s="357">
        <f>IF(ISNUMBER((Tasas!C18-Datos!BE18)/Datos!BE18),(Tasas!C18-Datos!BE18)/Datos!BE18," - ")</f>
        <v>-0.20246588094310977</v>
      </c>
      <c r="J18" s="355">
        <f>IF(ISNUMBER((Tasas!D18-Datos!BF18)/Datos!BF18),(Tasas!D18-Datos!BF18)/Datos!BF18," - ")</f>
        <v>0.17007755270901917</v>
      </c>
      <c r="K18" s="358">
        <f>IF(ISNUMBER((Tasas!E18-Datos!BG18)/Datos!BG18),(Tasas!E18-Datos!BG18)/Datos!BG18," - ")</f>
        <v>-8.4398495731155071E-2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-7.2385033284872599E-2</v>
      </c>
      <c r="E19" s="363">
        <f>IF(ISNUMBER(
   IF(J_V="SI",(Datos!J19-Datos!T19)/Datos!T19,(Datos!J19+Datos!Z19-(Datos!T19+Datos!AH19))/(Datos!T19+Datos!AH19))
     ),IF(J_V="SI",(Datos!J19-Datos!T19)/Datos!T19,(Datos!J19+Datos!Z19-(Datos!T19+Datos!AH19))/(Datos!T19+Datos!AH19))," - ")</f>
        <v>-9.6024303262448818E-2</v>
      </c>
      <c r="F19" s="363">
        <f>IF(ISNUMBER(
   IF(J_V="SI",(Datos!K19-Datos!U19)/Datos!U19,(Datos!K19+Datos!AA19-(Datos!U19+Datos!AI19))/(Datos!U19+Datos!AI19))
     ),IF(J_V="SI",(Datos!K19-Datos!U19)/Datos!U19,(Datos!K19+Datos!AA19-(Datos!U19+Datos!AI19))/(Datos!U19+Datos!AI19))," - ")</f>
        <v>0.11825472339268724</v>
      </c>
      <c r="G19" s="364">
        <f>IF(ISNUMBER(
   IF(J_V="SI",(Datos!L19-Datos!V19)/Datos!V19,(Datos!L19+Datos!AB19-(Datos!V19+Datos!AJ19))/(Datos!V19+Datos!AJ19))
     ),IF(J_V="SI",(Datos!L19-Datos!V19)/Datos!V19,(Datos!L19+Datos!AB19-(Datos!V19+Datos!AJ19))/(Datos!V19+Datos!AJ19))," - ")</f>
        <v>-0.18297360306836127</v>
      </c>
      <c r="H19" s="365">
        <f>IF(ISNUMBER((Datos!M19-Datos!W19)/Datos!W19),(Datos!M19-Datos!W19)/Datos!W19," - ")</f>
        <v>0.17669351018474658</v>
      </c>
      <c r="I19" s="362">
        <f>IF(ISNUMBER((Tasas!C19-Datos!BE19)/Datos!BE19),(Tasas!C19-Datos!BE19)/Datos!BE19," - ")</f>
        <v>-0.26937362316445052</v>
      </c>
      <c r="J19" s="363">
        <f>IF(ISNUMBER((Tasas!D19-Datos!BF19)/Datos!BF19),(Tasas!D19-Datos!BF19)/Datos!BF19," - ")</f>
        <v>0.23406588063692729</v>
      </c>
      <c r="K19" s="364">
        <f>IF(ISNUMBER((Tasas!E19-Datos!BG19)/Datos!BG19),(Tasas!E19-Datos!BG19)/Datos!BG19," - ")</f>
        <v>-0.17823392181915665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0.19657874301608089</v>
      </c>
      <c r="E21" s="278">
        <f t="shared" si="1"/>
        <v>0.55149744483800323</v>
      </c>
      <c r="F21" s="278">
        <f t="shared" si="1"/>
        <v>0.46944714777562707</v>
      </c>
      <c r="G21" s="279">
        <f t="shared" si="1"/>
        <v>0.16933137083514493</v>
      </c>
      <c r="H21" s="285">
        <f t="shared" si="1"/>
        <v>0.37691792306856142</v>
      </c>
      <c r="I21" s="277">
        <f t="shared" si="1"/>
        <v>1.2927141240319597</v>
      </c>
      <c r="J21" s="278">
        <f t="shared" si="1"/>
        <v>4.3337982550871679E-2</v>
      </c>
      <c r="K21" s="279">
        <f t="shared" si="1"/>
        <v>1.0003537088107479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dJcczVu3u+g4VYsNwv5OTSStLnDvg2FjwRuFz2CruGN613e7XRHaj3UuHYYk1N1h4q0bwqhbhruwAsZU+z3oQ==" saltValue="TGgSfVqpc9A+YhPvvoV/q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